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40" yWindow="45" windowWidth="19440" windowHeight="11760" activeTab="2"/>
  </bookViews>
  <sheets>
    <sheet name="Calculator" sheetId="1" r:id="rId1"/>
    <sheet name="How to Use" sheetId="3" r:id="rId2"/>
    <sheet name="Calculator (2)" sheetId="5"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8" i="5" l="1"/>
  <c r="E11" i="5" s="1"/>
  <c r="V21" i="5"/>
  <c r="N21" i="5"/>
  <c r="C78" i="5"/>
  <c r="O78" i="5"/>
  <c r="K78" i="5"/>
  <c r="G78" i="5"/>
  <c r="I9" i="5"/>
  <c r="D21" i="5"/>
  <c r="D15" i="5"/>
  <c r="D16" i="5"/>
  <c r="D17" i="5"/>
  <c r="D18" i="5"/>
  <c r="D19" i="5"/>
  <c r="D20" i="5"/>
  <c r="D14" i="5"/>
  <c r="E21" i="5"/>
  <c r="E15" i="5"/>
  <c r="F15" i="5" s="1"/>
  <c r="E16" i="5"/>
  <c r="E17" i="5"/>
  <c r="F17" i="5" s="1"/>
  <c r="E18" i="5"/>
  <c r="E19" i="5"/>
  <c r="F19" i="5" s="1"/>
  <c r="E20" i="5"/>
  <c r="E14" i="5"/>
  <c r="C21" i="5"/>
  <c r="F16" i="5"/>
  <c r="F18" i="5"/>
  <c r="F20" i="5"/>
  <c r="F14" i="5"/>
  <c r="U78" i="5"/>
  <c r="U77" i="5"/>
  <c r="T76" i="5"/>
  <c r="T75" i="5"/>
  <c r="T74" i="5"/>
  <c r="T73" i="5"/>
  <c r="T72" i="5"/>
  <c r="T71" i="5"/>
  <c r="Q69" i="5"/>
  <c r="Q68" i="5"/>
  <c r="P67" i="5"/>
  <c r="P66" i="5"/>
  <c r="P65" i="5"/>
  <c r="P64" i="5"/>
  <c r="P63" i="5"/>
  <c r="P62" i="5"/>
  <c r="M60" i="5"/>
  <c r="M59" i="5"/>
  <c r="L58" i="5"/>
  <c r="L57" i="5"/>
  <c r="L56" i="5"/>
  <c r="L55" i="5"/>
  <c r="L54" i="5"/>
  <c r="L53" i="5"/>
  <c r="L59" i="5" s="1"/>
  <c r="F40" i="5"/>
  <c r="G39" i="5"/>
  <c r="G38" i="5"/>
  <c r="G40" i="5" s="1"/>
  <c r="A38" i="5"/>
  <c r="A49" i="5" s="1"/>
  <c r="A50" i="5" s="1"/>
  <c r="K32" i="5"/>
  <c r="I31" i="5"/>
  <c r="I30" i="5"/>
  <c r="H30" i="5"/>
  <c r="H29" i="5" s="1"/>
  <c r="H28" i="5"/>
  <c r="H27" i="5"/>
  <c r="H26" i="5"/>
  <c r="H25" i="5"/>
  <c r="H24" i="5"/>
  <c r="G23" i="5"/>
  <c r="U11" i="5"/>
  <c r="U10" i="5" s="1"/>
  <c r="Q11" i="5"/>
  <c r="M11" i="5"/>
  <c r="I11" i="5"/>
  <c r="Q10" i="5"/>
  <c r="M10" i="5"/>
  <c r="I10" i="5"/>
  <c r="G29" i="5" l="1"/>
  <c r="G24" i="5"/>
  <c r="G26" i="5"/>
  <c r="G28" i="5"/>
  <c r="A39" i="5"/>
  <c r="G25" i="5"/>
  <c r="G27" i="5"/>
  <c r="P68" i="5"/>
  <c r="T77" i="5"/>
  <c r="C18" i="1"/>
  <c r="F18" i="1"/>
  <c r="C17" i="1"/>
  <c r="F17" i="1"/>
  <c r="E78" i="5" l="1"/>
  <c r="F21" i="5"/>
  <c r="F78" i="5" s="1"/>
  <c r="G30" i="5"/>
  <c r="U78" i="1"/>
  <c r="Q69" i="1"/>
  <c r="M60" i="1"/>
  <c r="I31" i="1"/>
  <c r="E22" i="1"/>
  <c r="U77" i="1"/>
  <c r="Q68" i="1"/>
  <c r="E21" i="1"/>
  <c r="E78" i="1" l="1"/>
  <c r="C19" i="1"/>
  <c r="K32" i="1"/>
  <c r="G23" i="1"/>
  <c r="E9" i="1"/>
  <c r="D18" i="1" s="1"/>
  <c r="C14" i="1"/>
  <c r="C15" i="1"/>
  <c r="C16" i="1"/>
  <c r="G38" i="1"/>
  <c r="C20" i="1"/>
  <c r="T76" i="1"/>
  <c r="E11" i="1"/>
  <c r="T72" i="1"/>
  <c r="T73" i="1"/>
  <c r="T74" i="1"/>
  <c r="T75" i="1"/>
  <c r="T71" i="1"/>
  <c r="H30" i="1"/>
  <c r="H26" i="1" s="1"/>
  <c r="U11" i="1"/>
  <c r="U10" i="1" s="1"/>
  <c r="P63" i="1"/>
  <c r="P64" i="1"/>
  <c r="P65" i="1"/>
  <c r="P66" i="1"/>
  <c r="P67" i="1"/>
  <c r="P62" i="1"/>
  <c r="Q11" i="1"/>
  <c r="Q10" i="1" s="1"/>
  <c r="L54" i="1"/>
  <c r="L55" i="1"/>
  <c r="L56" i="1"/>
  <c r="L57" i="1"/>
  <c r="L58" i="1"/>
  <c r="L53" i="1"/>
  <c r="M59" i="1"/>
  <c r="M11" i="1"/>
  <c r="M10" i="1" s="1"/>
  <c r="I30" i="1"/>
  <c r="I11" i="1"/>
  <c r="I10" i="1" s="1"/>
  <c r="I9" i="1" s="1"/>
  <c r="G39" i="1"/>
  <c r="F40" i="1"/>
  <c r="A38" i="1"/>
  <c r="A49" i="1" s="1"/>
  <c r="A50" i="1" s="1"/>
  <c r="H27" i="1"/>
  <c r="F16" i="1"/>
  <c r="F20" i="1"/>
  <c r="F19" i="1"/>
  <c r="F15" i="1"/>
  <c r="C78" i="1"/>
  <c r="F14" i="1"/>
  <c r="J20" i="5" l="1"/>
  <c r="J16" i="5"/>
  <c r="J18" i="5"/>
  <c r="J14" i="5"/>
  <c r="M9" i="5"/>
  <c r="J15" i="5"/>
  <c r="J19" i="5"/>
  <c r="J29" i="5"/>
  <c r="J17" i="5"/>
  <c r="J24" i="5"/>
  <c r="J25" i="5"/>
  <c r="J26" i="5"/>
  <c r="J27" i="5"/>
  <c r="J28" i="5"/>
  <c r="I78" i="5"/>
  <c r="D17" i="1"/>
  <c r="A39" i="1"/>
  <c r="D20" i="1"/>
  <c r="D14" i="1"/>
  <c r="H29" i="1"/>
  <c r="D16" i="1"/>
  <c r="G29" i="1"/>
  <c r="L59" i="1"/>
  <c r="T77" i="1"/>
  <c r="P68" i="1"/>
  <c r="D19" i="1"/>
  <c r="H28" i="1"/>
  <c r="G28" i="1" s="1"/>
  <c r="H25" i="1"/>
  <c r="G25" i="1" s="1"/>
  <c r="H24" i="1"/>
  <c r="G24" i="1" s="1"/>
  <c r="D15" i="1"/>
  <c r="F21" i="1"/>
  <c r="F78" i="1" s="1"/>
  <c r="G40" i="1"/>
  <c r="G27" i="1"/>
  <c r="G26" i="1"/>
  <c r="J30" i="5" l="1"/>
  <c r="J21" i="5"/>
  <c r="K57" i="5"/>
  <c r="K55" i="5"/>
  <c r="K53" i="5"/>
  <c r="K54" i="5"/>
  <c r="K58" i="5"/>
  <c r="K56" i="5"/>
  <c r="D21" i="1"/>
  <c r="G30" i="1"/>
  <c r="J78" i="5" l="1"/>
  <c r="K59" i="5"/>
  <c r="G78" i="1"/>
  <c r="J18" i="1" s="1"/>
  <c r="J17" i="1" l="1"/>
  <c r="I78" i="1"/>
  <c r="J16" i="1"/>
  <c r="J14" i="1"/>
  <c r="J15" i="1"/>
  <c r="M9" i="1"/>
  <c r="J19" i="1"/>
  <c r="J20" i="1"/>
  <c r="J29" i="1"/>
  <c r="J26" i="1"/>
  <c r="J25" i="1"/>
  <c r="J24" i="1"/>
  <c r="J27" i="1"/>
  <c r="J28" i="1"/>
  <c r="Q9" i="5" l="1"/>
  <c r="N15" i="5"/>
  <c r="N19" i="5"/>
  <c r="N16" i="5"/>
  <c r="N29" i="5"/>
  <c r="N17" i="5"/>
  <c r="N14" i="5"/>
  <c r="N18" i="5"/>
  <c r="N20" i="5"/>
  <c r="N26" i="5"/>
  <c r="N28" i="5"/>
  <c r="N25" i="5"/>
  <c r="N27" i="5"/>
  <c r="N24" i="5"/>
  <c r="N30" i="5" s="1"/>
  <c r="N54" i="5"/>
  <c r="N55" i="5"/>
  <c r="N58" i="5"/>
  <c r="N56" i="5"/>
  <c r="N53" i="5"/>
  <c r="N57" i="5"/>
  <c r="J30" i="1"/>
  <c r="K54" i="1"/>
  <c r="K56" i="1"/>
  <c r="K55" i="1"/>
  <c r="K53" i="1"/>
  <c r="K58" i="1"/>
  <c r="K57" i="1"/>
  <c r="J21" i="1"/>
  <c r="N59" i="5" l="1"/>
  <c r="N78" i="5" s="1"/>
  <c r="O65" i="5"/>
  <c r="O64" i="5"/>
  <c r="O63" i="5"/>
  <c r="O67" i="5"/>
  <c r="O62" i="5"/>
  <c r="O66" i="5"/>
  <c r="J78" i="1"/>
  <c r="K59" i="1"/>
  <c r="O68" i="5" l="1"/>
  <c r="R62" i="5" s="1"/>
  <c r="K78" i="1"/>
  <c r="N18" i="1" s="1"/>
  <c r="R64" i="5" l="1"/>
  <c r="R67" i="5"/>
  <c r="R66" i="5"/>
  <c r="R65" i="5"/>
  <c r="R63" i="5"/>
  <c r="R68" i="5" s="1"/>
  <c r="R18" i="5"/>
  <c r="R14" i="5"/>
  <c r="R20" i="5"/>
  <c r="R16" i="5"/>
  <c r="U9" i="5"/>
  <c r="R29" i="5"/>
  <c r="R17" i="5"/>
  <c r="R15" i="5"/>
  <c r="R19" i="5"/>
  <c r="R25" i="5"/>
  <c r="R26" i="5"/>
  <c r="R27" i="5"/>
  <c r="R28" i="5"/>
  <c r="R24" i="5"/>
  <c r="R56" i="5"/>
  <c r="R55" i="5"/>
  <c r="R53" i="5"/>
  <c r="R57" i="5"/>
  <c r="R54" i="5"/>
  <c r="V58" i="5"/>
  <c r="R58" i="5"/>
  <c r="N17" i="1"/>
  <c r="N20" i="1"/>
  <c r="N14" i="1"/>
  <c r="N21" i="1"/>
  <c r="N16" i="1"/>
  <c r="N15" i="1"/>
  <c r="N19" i="1"/>
  <c r="N29" i="1"/>
  <c r="Q9" i="1"/>
  <c r="N26" i="1"/>
  <c r="N25" i="1"/>
  <c r="N24" i="1"/>
  <c r="N27" i="1"/>
  <c r="N28" i="1"/>
  <c r="N58" i="1"/>
  <c r="N54" i="1"/>
  <c r="N57" i="1"/>
  <c r="N53" i="1"/>
  <c r="N56" i="1"/>
  <c r="N55" i="1"/>
  <c r="R30" i="5" l="1"/>
  <c r="R21" i="5"/>
  <c r="R59" i="5"/>
  <c r="S76" i="5"/>
  <c r="S74" i="5"/>
  <c r="S72" i="5"/>
  <c r="S71" i="5"/>
  <c r="S75" i="5"/>
  <c r="S73" i="5"/>
  <c r="O65" i="1"/>
  <c r="O67" i="1"/>
  <c r="O62" i="1"/>
  <c r="O63" i="1"/>
  <c r="O66" i="1"/>
  <c r="O64" i="1"/>
  <c r="N59" i="1"/>
  <c r="N30" i="1"/>
  <c r="R78" i="5" l="1"/>
  <c r="S77" i="5"/>
  <c r="S78" i="5" s="1"/>
  <c r="V72" i="5" s="1"/>
  <c r="N78" i="1"/>
  <c r="O68" i="1"/>
  <c r="O78" i="1" s="1"/>
  <c r="R18" i="1" s="1"/>
  <c r="V74" i="5" l="1"/>
  <c r="V71" i="5"/>
  <c r="V73" i="5"/>
  <c r="V19" i="5"/>
  <c r="V15" i="5"/>
  <c r="V29" i="5"/>
  <c r="V17" i="5"/>
  <c r="V18" i="5"/>
  <c r="V14" i="5"/>
  <c r="V16" i="5"/>
  <c r="V20" i="5"/>
  <c r="V25" i="5"/>
  <c r="V27" i="5"/>
  <c r="V24" i="5"/>
  <c r="V26" i="5"/>
  <c r="V28" i="5"/>
  <c r="V56" i="5"/>
  <c r="V53" i="5"/>
  <c r="V54" i="5"/>
  <c r="V55" i="5"/>
  <c r="V57" i="5"/>
  <c r="V62" i="5"/>
  <c r="V65" i="5"/>
  <c r="V64" i="5"/>
  <c r="V63" i="5"/>
  <c r="V66" i="5"/>
  <c r="V67" i="5"/>
  <c r="V76" i="5"/>
  <c r="V75" i="5"/>
  <c r="R17" i="1"/>
  <c r="R67" i="1"/>
  <c r="R65" i="1"/>
  <c r="R62" i="1"/>
  <c r="R16" i="1"/>
  <c r="R20" i="1"/>
  <c r="R15" i="1"/>
  <c r="R19" i="1"/>
  <c r="U9" i="1"/>
  <c r="R14" i="1"/>
  <c r="R29" i="1"/>
  <c r="R26" i="1"/>
  <c r="R24" i="1"/>
  <c r="R27" i="1"/>
  <c r="R25" i="1"/>
  <c r="R28" i="1"/>
  <c r="R58" i="1"/>
  <c r="R55" i="1"/>
  <c r="R54" i="1"/>
  <c r="R53" i="1"/>
  <c r="V58" i="1"/>
  <c r="R57" i="1"/>
  <c r="R56" i="1"/>
  <c r="R66" i="1"/>
  <c r="R63" i="1"/>
  <c r="R64" i="1"/>
  <c r="V68" i="5" l="1"/>
  <c r="V59" i="5"/>
  <c r="V30" i="5"/>
  <c r="V77" i="5"/>
  <c r="R59" i="1"/>
  <c r="R21" i="1"/>
  <c r="R68" i="1"/>
  <c r="R30" i="1"/>
  <c r="S76" i="1"/>
  <c r="S72" i="1"/>
  <c r="S73" i="1"/>
  <c r="S74" i="1"/>
  <c r="S75" i="1"/>
  <c r="S71" i="1"/>
  <c r="V78" i="5" l="1"/>
  <c r="R78" i="1"/>
  <c r="S77" i="1"/>
  <c r="S78" i="1" s="1"/>
  <c r="V18" i="1" s="1"/>
  <c r="V17" i="1" l="1"/>
  <c r="V74" i="1"/>
  <c r="V16" i="1"/>
  <c r="V20" i="1"/>
  <c r="V15" i="1"/>
  <c r="V19" i="1"/>
  <c r="V21" i="1"/>
  <c r="V14" i="1"/>
  <c r="V29" i="1"/>
  <c r="V25" i="1"/>
  <c r="V28" i="1"/>
  <c r="V26" i="1"/>
  <c r="V24" i="1"/>
  <c r="V27" i="1"/>
  <c r="V56" i="1"/>
  <c r="V53" i="1"/>
  <c r="V55" i="1"/>
  <c r="V54" i="1"/>
  <c r="V57" i="1"/>
  <c r="V67" i="1"/>
  <c r="V64" i="1"/>
  <c r="V63" i="1"/>
  <c r="V66" i="1"/>
  <c r="V62" i="1"/>
  <c r="V65" i="1"/>
  <c r="V73" i="1"/>
  <c r="V72" i="1"/>
  <c r="V71" i="1"/>
  <c r="V76" i="1"/>
  <c r="V75" i="1"/>
  <c r="V68" i="1" l="1"/>
  <c r="V59" i="1"/>
  <c r="V77" i="1"/>
  <c r="V30" i="1"/>
  <c r="V78" i="1" l="1"/>
</calcChain>
</file>

<file path=xl/comments1.xml><?xml version="1.0" encoding="utf-8"?>
<comments xmlns="http://schemas.openxmlformats.org/spreadsheetml/2006/main">
  <authors>
    <author>Carter</author>
  </authors>
  <commentList>
    <comment ref="I8" authorId="0">
      <text>
        <r>
          <rPr>
            <b/>
            <sz val="9"/>
            <color indexed="81"/>
            <rFont val="Tahoma"/>
            <charset val="1"/>
          </rPr>
          <t>Carter:</t>
        </r>
        <r>
          <rPr>
            <sz val="9"/>
            <color indexed="81"/>
            <rFont val="Tahoma"/>
            <charset val="1"/>
          </rPr>
          <t xml:space="preserve">
Insert the amount to be raised for the B round.</t>
        </r>
      </text>
    </comment>
    <comment ref="J8" authorId="0">
      <text>
        <r>
          <rPr>
            <b/>
            <sz val="9"/>
            <color indexed="81"/>
            <rFont val="Tahoma"/>
            <charset val="1"/>
          </rPr>
          <t>Carter:</t>
        </r>
        <r>
          <rPr>
            <sz val="9"/>
            <color indexed="81"/>
            <rFont val="Tahoma"/>
            <charset val="1"/>
          </rPr>
          <t xml:space="preserve">
Insert the percentage of the company that you would like to allocate (post-investment).  Based on the amount of the raise and the percentage allocated to this round, the worksheet will calculate pre-money value and post-money value.</t>
        </r>
      </text>
    </comment>
    <comment ref="E14" authorId="0">
      <text>
        <r>
          <rPr>
            <b/>
            <sz val="9"/>
            <color indexed="81"/>
            <rFont val="Tahoma"/>
            <charset val="1"/>
          </rPr>
          <t>Carter:</t>
        </r>
        <r>
          <rPr>
            <sz val="9"/>
            <color indexed="81"/>
            <rFont val="Tahoma"/>
            <charset val="1"/>
          </rPr>
          <t xml:space="preserve">
Enter the percentage ownership for this individual and so forth for each shareholder in the founder round (and the amount reserved for employee stock options).  If you have already issued shares, you may find it easier to use the the worksheet on the Calculator (2) Tab which allows you to input share numbers and dollars for the founder round.  Otherwise it works the same as this worksheet.</t>
        </r>
      </text>
    </comment>
    <comment ref="E22" authorId="0">
      <text>
        <r>
          <rPr>
            <b/>
            <sz val="9"/>
            <color indexed="81"/>
            <rFont val="Tahoma"/>
            <family val="2"/>
          </rPr>
          <t>Carter:</t>
        </r>
        <r>
          <rPr>
            <sz val="9"/>
            <color indexed="81"/>
            <rFont val="Tahoma"/>
            <family val="2"/>
          </rPr>
          <t xml:space="preserve">
This cell will show an error message if the  ownership percentages do not sum to 100.</t>
        </r>
      </text>
    </comment>
    <comment ref="I31" authorId="0">
      <text>
        <r>
          <rPr>
            <b/>
            <sz val="9"/>
            <color indexed="81"/>
            <rFont val="Tahoma"/>
            <charset val="1"/>
          </rPr>
          <t>Carter:</t>
        </r>
        <r>
          <rPr>
            <sz val="9"/>
            <color indexed="81"/>
            <rFont val="Tahoma"/>
            <charset val="1"/>
          </rPr>
          <t xml:space="preserve">
Percentages must sum to 100 or this cell will indicate an error.</t>
        </r>
      </text>
    </comment>
  </commentList>
</comments>
</file>

<file path=xl/comments2.xml><?xml version="1.0" encoding="utf-8"?>
<comments xmlns="http://schemas.openxmlformats.org/spreadsheetml/2006/main">
  <authors>
    <author>Carter</author>
  </authors>
  <commentList>
    <comment ref="I31" authorId="0">
      <text>
        <r>
          <rPr>
            <b/>
            <sz val="9"/>
            <color indexed="81"/>
            <rFont val="Tahoma"/>
            <charset val="1"/>
          </rPr>
          <t>Carter:</t>
        </r>
        <r>
          <rPr>
            <sz val="9"/>
            <color indexed="81"/>
            <rFont val="Tahoma"/>
            <charset val="1"/>
          </rPr>
          <t xml:space="preserve">
Percentages must sum to 100 or this cell will indicate an error.</t>
        </r>
      </text>
    </comment>
  </commentList>
</comments>
</file>

<file path=xl/sharedStrings.xml><?xml version="1.0" encoding="utf-8"?>
<sst xmlns="http://schemas.openxmlformats.org/spreadsheetml/2006/main" count="238" uniqueCount="76">
  <si>
    <t>David Sypniewski</t>
  </si>
  <si>
    <t>Shareholder</t>
  </si>
  <si>
    <t>Valuation</t>
  </si>
  <si>
    <t>Price per percent</t>
  </si>
  <si>
    <t>Conversion Principal</t>
  </si>
  <si>
    <t>Conversion Amount</t>
  </si>
  <si>
    <t>Conversion Equity</t>
  </si>
  <si>
    <t>Total</t>
  </si>
  <si>
    <t>Conversion Interest</t>
  </si>
  <si>
    <t>Units</t>
  </si>
  <si>
    <t>Conversion Units</t>
  </si>
  <si>
    <t>Discount Price</t>
  </si>
  <si>
    <t xml:space="preserve"> </t>
  </si>
  <si>
    <t>X-Boundaries</t>
  </si>
  <si>
    <t>John Wise</t>
  </si>
  <si>
    <t>Vanesa Sypniewski</t>
  </si>
  <si>
    <t>Outstanding</t>
  </si>
  <si>
    <t>Current</t>
  </si>
  <si>
    <t>Recap</t>
  </si>
  <si>
    <t>Stock Option Plan</t>
  </si>
  <si>
    <t>Pre-Money Valuation</t>
  </si>
  <si>
    <t>Investment Round</t>
  </si>
  <si>
    <t>Post-Money Valuation</t>
  </si>
  <si>
    <t>% of Round</t>
  </si>
  <si>
    <t>B Round</t>
  </si>
  <si>
    <t xml:space="preserve">  Total A Round</t>
  </si>
  <si>
    <t xml:space="preserve">  Total B Round</t>
  </si>
  <si>
    <t>$$</t>
  </si>
  <si>
    <t>% FD - Post</t>
  </si>
  <si>
    <t>C Round</t>
  </si>
  <si>
    <t xml:space="preserve">  Total C Round</t>
  </si>
  <si>
    <t>D Round</t>
  </si>
  <si>
    <t xml:space="preserve">  Total D Round</t>
  </si>
  <si>
    <t>E Round</t>
  </si>
  <si>
    <t xml:space="preserve">  Total E Round</t>
  </si>
  <si>
    <t xml:space="preserve">Contractor </t>
  </si>
  <si>
    <t>A Round (Founders)</t>
  </si>
  <si>
    <t>B Round (Seed)</t>
  </si>
  <si>
    <t>C Round (Product Development)</t>
  </si>
  <si>
    <t>D Round (Go to Market)</t>
  </si>
  <si>
    <t>Key Employee</t>
  </si>
  <si>
    <t>STARTUP COMPANY VALUATION AND DILUTION CALCULATOR FOR FIVE INVESTMENT ROUNDS</t>
  </si>
  <si>
    <t>Numbers in blue can be edited.  See "How to Use" Tab for Instructions</t>
  </si>
  <si>
    <t>Investor B1</t>
  </si>
  <si>
    <t>Investor B2</t>
  </si>
  <si>
    <t>Investor B3</t>
  </si>
  <si>
    <t>Investor B4</t>
  </si>
  <si>
    <t>Investor B5</t>
  </si>
  <si>
    <t>Investor B6</t>
  </si>
  <si>
    <t>Investor C1</t>
  </si>
  <si>
    <t>Investor C2</t>
  </si>
  <si>
    <t>Investor C3</t>
  </si>
  <si>
    <t>Investor C4</t>
  </si>
  <si>
    <t>Investor C5</t>
  </si>
  <si>
    <t>Investor C6</t>
  </si>
  <si>
    <t>Investor D1</t>
  </si>
  <si>
    <t>Investor D2</t>
  </si>
  <si>
    <t>Investor D3</t>
  </si>
  <si>
    <t>Investor D4</t>
  </si>
  <si>
    <t>Investor D5</t>
  </si>
  <si>
    <t>Investor D6</t>
  </si>
  <si>
    <t>Investor E1</t>
  </si>
  <si>
    <t>Investor E2</t>
  </si>
  <si>
    <t>Investor E3</t>
  </si>
  <si>
    <t>Investor E4</t>
  </si>
  <si>
    <t>Investor E5</t>
  </si>
  <si>
    <t>Investor E6</t>
  </si>
  <si>
    <t>Amount of Raise &amp; % FD</t>
  </si>
  <si>
    <t>Raise</t>
  </si>
  <si>
    <t>Template prepared by Mackley &amp; Mackley, PLLC</t>
  </si>
  <si>
    <t>Price Per Share</t>
  </si>
  <si>
    <t>Chief Technology Officer</t>
  </si>
  <si>
    <t>Founder 1</t>
  </si>
  <si>
    <t>Founder 2</t>
  </si>
  <si>
    <t>Shares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</si>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</sst>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quot;$&quot;* #,##0.000_);_(&quot;$&quot;* \(#,##0.000\);_(&quot;$&quot;* &quot;-&quot;??_);_(@_)"/>
    <numFmt numFmtId="166" formatCode="0.000%"/>
    <numFmt numFmtId="167" formatCode="&quot;$&quot;#,##0"/>
    <numFmt numFmtId="168" formatCode="_(* #,##0_);_(* \(#,##0\);_(* &quot;-&quot;??_);_(@_)"/>
  </numFmts>
  <fonts count="16" x14ac:knownFonts="1">
    <font>
      <sz val="10"/>
      <name val="Arial"/>
    </font>
    <font>
      <sz val="10"/>
      <name val="Arial"/>
    </font>
    <font>
      <sz val="8"/>
      <name val="Arial"/>
    </font>
    <font>
      <sz val="10"/>
      <name val="Arial"/>
    </font>
    <font>
      <sz val="10"/>
      <name val="Arial"/>
      <family val="2"/>
    </font>
    <font>
      <b/>
      <sz val="10"/>
      <name val="Arial"/>
      <family val="2"/>
    </font>
    <font>
      <sz val="10"/>
      <color theme="4" tint="0.79998168889431442"/>
      <name val="Arial"/>
      <family val="2"/>
    </font>
    <font>
      <b/>
      <sz val="10"/>
      <color rgb="FFFF0000"/>
      <name val="Arial"/>
      <family val="2"/>
    </font>
    <font>
      <b/>
      <sz val="14"/>
      <name val="Arial"/>
      <family val="2"/>
    </font>
    <font>
      <u/>
      <sz val="10"/>
      <color theme="10"/>
      <name val="Arial"/>
    </font>
    <font>
      <u/>
      <sz val="10"/>
      <color theme="11"/>
      <name val="Arial"/>
    </font>
    <font>
      <b/>
      <sz val="10"/>
      <color rgb="FF660066"/>
      <name val="Arial"/>
    </font>
    <font>
      <sz val="9"/>
      <color indexed="81"/>
      <name val="Tahoma"/>
      <family val="2"/>
    </font>
    <font>
      <b/>
      <sz val="9"/>
      <color indexed="81"/>
      <name val="Tahoma"/>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theme="3" tint="0.79998168889431442"/>
        <bgColor indexed="64"/>
      </patternFill>
    </fill>
    <fill>
      <patternFill patternType="solid">
        <fgColor rgb="FFFF9999"/>
        <bgColor indexed="64"/>
      </patternFill>
    </fill>
    <fill>
      <patternFill patternType="solid">
        <fgColor rgb="FFFBFB8F"/>
        <bgColor indexed="64"/>
      </patternFill>
    </fill>
    <fill>
      <patternFill patternType="solid">
        <fgColor rgb="FF92D05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s>
  <borders count="19">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56">
    <xf numFmtId="0" fontId="0" fillId="0" borderId="0" xfId="0"/>
    <xf numFmtId="0" fontId="4" fillId="0" borderId="0" xfId="0" applyFont="1"/>
    <xf numFmtId="2" fontId="0" fillId="0" borderId="0" xfId="0" applyNumberFormat="1"/>
    <xf numFmtId="9" fontId="0" fillId="0" borderId="0" xfId="2" applyFont="1"/>
    <xf numFmtId="10" fontId="0" fillId="0" borderId="0" xfId="2" applyNumberFormat="1" applyFont="1" applyFill="1"/>
    <xf numFmtId="0" fontId="5" fillId="0" borderId="0" xfId="0" applyFont="1"/>
    <xf numFmtId="0" fontId="5" fillId="0" borderId="0" xfId="0" applyFont="1" applyAlignment="1">
      <alignment horizontal="center"/>
    </xf>
    <xf numFmtId="44" fontId="0" fillId="0" borderId="0" xfId="0" applyNumberFormat="1"/>
    <xf numFmtId="3" fontId="0" fillId="0" borderId="0" xfId="0" applyNumberFormat="1"/>
    <xf numFmtId="44" fontId="0" fillId="0" borderId="0" xfId="1" applyFont="1"/>
    <xf numFmtId="164" fontId="0" fillId="0" borderId="0" xfId="0" applyNumberFormat="1"/>
    <xf numFmtId="164" fontId="0" fillId="0" borderId="0" xfId="1" applyNumberFormat="1" applyFont="1"/>
    <xf numFmtId="3" fontId="5" fillId="0" borderId="0" xfId="0" applyNumberFormat="1" applyFont="1"/>
    <xf numFmtId="164" fontId="5" fillId="0" borderId="0" xfId="0" applyNumberFormat="1" applyFont="1"/>
    <xf numFmtId="10" fontId="5" fillId="0" borderId="0" xfId="2" applyNumberFormat="1" applyFont="1"/>
    <xf numFmtId="0" fontId="0" fillId="0" borderId="0" xfId="0" applyFill="1"/>
    <xf numFmtId="3" fontId="0" fillId="0" borderId="0" xfId="0" applyNumberFormat="1" applyFill="1"/>
    <xf numFmtId="0" fontId="5" fillId="3" borderId="0" xfId="0" applyFont="1" applyFill="1"/>
    <xf numFmtId="0" fontId="5" fillId="3" borderId="0" xfId="0" applyFont="1" applyFill="1" applyAlignment="1">
      <alignment horizontal="center"/>
    </xf>
    <xf numFmtId="5" fontId="0" fillId="3" borderId="0" xfId="0" applyNumberFormat="1" applyFill="1"/>
    <xf numFmtId="0" fontId="0" fillId="3" borderId="0" xfId="0" applyFill="1"/>
    <xf numFmtId="164" fontId="0" fillId="3" borderId="0" xfId="0" applyNumberFormat="1" applyFill="1"/>
    <xf numFmtId="0" fontId="5" fillId="4" borderId="0" xfId="0" applyFont="1" applyFill="1"/>
    <xf numFmtId="0" fontId="5" fillId="4" borderId="0" xfId="0" applyFont="1" applyFill="1" applyAlignment="1">
      <alignment horizontal="center"/>
    </xf>
    <xf numFmtId="9" fontId="0" fillId="4" borderId="0" xfId="0" applyNumberFormat="1" applyFill="1"/>
    <xf numFmtId="0" fontId="0" fillId="4" borderId="0" xfId="0" applyFill="1"/>
    <xf numFmtId="44" fontId="0" fillId="4" borderId="0" xfId="1" applyNumberFormat="1" applyFont="1" applyFill="1"/>
    <xf numFmtId="0" fontId="6" fillId="0" borderId="0" xfId="0" applyFont="1" applyFill="1"/>
    <xf numFmtId="0" fontId="4" fillId="0" borderId="0" xfId="0" applyFont="1" applyFill="1"/>
    <xf numFmtId="0" fontId="5" fillId="5" borderId="0" xfId="0" applyFont="1" applyFill="1"/>
    <xf numFmtId="0" fontId="5" fillId="5" borderId="0" xfId="0" applyFont="1" applyFill="1" applyAlignment="1">
      <alignment horizontal="center"/>
    </xf>
    <xf numFmtId="164" fontId="0" fillId="5" borderId="0" xfId="0" applyNumberFormat="1" applyFill="1"/>
    <xf numFmtId="0" fontId="0" fillId="5" borderId="0" xfId="0" applyFill="1"/>
    <xf numFmtId="165" fontId="0" fillId="4" borderId="0" xfId="1" applyNumberFormat="1" applyFont="1" applyFill="1"/>
    <xf numFmtId="0" fontId="5" fillId="0" borderId="1" xfId="0" applyFont="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xf>
    <xf numFmtId="164" fontId="11" fillId="2" borderId="3" xfId="1" applyNumberFormat="1" applyFont="1" applyFill="1" applyBorder="1"/>
    <xf numFmtId="9" fontId="11" fillId="2" borderId="4" xfId="0" applyNumberFormat="1" applyFont="1" applyFill="1" applyBorder="1"/>
    <xf numFmtId="9" fontId="11" fillId="2" borderId="6" xfId="2" applyNumberFormat="1" applyFont="1" applyFill="1" applyBorder="1"/>
    <xf numFmtId="9" fontId="11" fillId="2" borderId="7" xfId="2" applyNumberFormat="1" applyFont="1" applyFill="1" applyBorder="1"/>
    <xf numFmtId="0" fontId="5" fillId="6" borderId="0" xfId="0" applyFont="1" applyFill="1" applyAlignment="1">
      <alignment horizontal="center"/>
    </xf>
    <xf numFmtId="3" fontId="0" fillId="6" borderId="0" xfId="0" applyNumberFormat="1" applyFill="1"/>
    <xf numFmtId="10" fontId="0" fillId="6" borderId="0" xfId="2" applyNumberFormat="1" applyFont="1" applyFill="1"/>
    <xf numFmtId="0" fontId="0" fillId="6" borderId="0" xfId="0" applyFill="1"/>
    <xf numFmtId="0" fontId="0" fillId="0" borderId="8" xfId="0" applyBorder="1"/>
    <xf numFmtId="0" fontId="5" fillId="0" borderId="8" xfId="0" applyFont="1" applyBorder="1"/>
    <xf numFmtId="0" fontId="0" fillId="6" borderId="8" xfId="0" applyFill="1" applyBorder="1"/>
    <xf numFmtId="9" fontId="3" fillId="0" borderId="8" xfId="2" applyNumberFormat="1" applyFont="1" applyFill="1" applyBorder="1"/>
    <xf numFmtId="9" fontId="0" fillId="0" borderId="8" xfId="2" applyNumberFormat="1" applyFont="1" applyBorder="1"/>
    <xf numFmtId="10" fontId="5" fillId="0" borderId="8" xfId="2" applyNumberFormat="1" applyFont="1" applyBorder="1"/>
    <xf numFmtId="10" fontId="0" fillId="0" borderId="8" xfId="2" applyNumberFormat="1" applyFont="1" applyBorder="1"/>
    <xf numFmtId="10" fontId="0" fillId="6" borderId="8" xfId="2" applyNumberFormat="1" applyFont="1" applyFill="1" applyBorder="1"/>
    <xf numFmtId="3" fontId="0" fillId="0" borderId="9" xfId="0" applyNumberFormat="1" applyFill="1" applyBorder="1"/>
    <xf numFmtId="3" fontId="5" fillId="0" borderId="9" xfId="0" applyNumberFormat="1" applyFont="1" applyBorder="1"/>
    <xf numFmtId="3" fontId="0" fillId="0" borderId="9" xfId="0" applyNumberFormat="1" applyBorder="1"/>
    <xf numFmtId="3" fontId="0" fillId="6" borderId="9" xfId="0" applyNumberFormat="1" applyFill="1" applyBorder="1"/>
    <xf numFmtId="0" fontId="0" fillId="0" borderId="9" xfId="0" applyBorder="1"/>
    <xf numFmtId="0" fontId="5" fillId="0" borderId="9" xfId="0" applyFont="1" applyBorder="1"/>
    <xf numFmtId="0" fontId="0" fillId="6" borderId="9" xfId="0" applyFill="1" applyBorder="1"/>
    <xf numFmtId="2" fontId="0" fillId="0" borderId="9" xfId="0" applyNumberFormat="1" applyBorder="1"/>
    <xf numFmtId="164" fontId="0" fillId="0" borderId="9" xfId="0" applyNumberFormat="1" applyBorder="1"/>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3" fontId="5" fillId="0" borderId="13" xfId="0" applyNumberFormat="1" applyFont="1" applyBorder="1"/>
    <xf numFmtId="0" fontId="5" fillId="0" borderId="14" xfId="0" applyFont="1" applyBorder="1"/>
    <xf numFmtId="10" fontId="5" fillId="0" borderId="14" xfId="0" applyNumberFormat="1" applyFont="1" applyBorder="1"/>
    <xf numFmtId="10" fontId="5" fillId="0" borderId="15" xfId="0" applyNumberFormat="1" applyFont="1" applyBorder="1"/>
    <xf numFmtId="0" fontId="0" fillId="6" borderId="0" xfId="0" applyFill="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9" fontId="5" fillId="0" borderId="8" xfId="2" applyNumberFormat="1" applyFont="1" applyBorder="1"/>
    <xf numFmtId="3" fontId="0" fillId="0" borderId="0" xfId="0" applyNumberFormat="1" applyBorder="1"/>
    <xf numFmtId="164" fontId="0" fillId="0" borderId="0" xfId="1" applyNumberFormat="1" applyFont="1" applyBorder="1"/>
    <xf numFmtId="3" fontId="5" fillId="0" borderId="0" xfId="0" applyNumberFormat="1" applyFont="1" applyBorder="1"/>
    <xf numFmtId="164" fontId="5" fillId="0" borderId="0" xfId="2" applyNumberFormat="1" applyFont="1" applyBorder="1"/>
    <xf numFmtId="9" fontId="5" fillId="0" borderId="0" xfId="2" applyNumberFormat="1" applyFont="1" applyBorder="1"/>
    <xf numFmtId="164" fontId="0" fillId="0" borderId="0" xfId="2" applyNumberFormat="1" applyFont="1" applyBorder="1"/>
    <xf numFmtId="0" fontId="0" fillId="6" borderId="0" xfId="0" applyFill="1" applyBorder="1"/>
    <xf numFmtId="0" fontId="0" fillId="0" borderId="0" xfId="0" applyBorder="1"/>
    <xf numFmtId="0" fontId="5" fillId="0" borderId="0" xfId="0" applyFont="1" applyBorder="1" applyAlignment="1">
      <alignment horizontal="center"/>
    </xf>
    <xf numFmtId="0" fontId="5" fillId="0" borderId="0" xfId="0" applyFont="1" applyBorder="1"/>
    <xf numFmtId="9" fontId="5" fillId="0" borderId="14" xfId="2" applyFont="1" applyBorder="1"/>
    <xf numFmtId="9" fontId="5" fillId="0" borderId="15" xfId="2" applyFont="1" applyBorder="1"/>
    <xf numFmtId="0" fontId="0" fillId="7" borderId="0" xfId="0" applyFill="1"/>
    <xf numFmtId="3" fontId="0" fillId="7" borderId="9" xfId="0" applyNumberFormat="1" applyFill="1" applyBorder="1"/>
    <xf numFmtId="3" fontId="0" fillId="7" borderId="0" xfId="0" applyNumberFormat="1" applyFill="1"/>
    <xf numFmtId="9" fontId="0" fillId="7" borderId="8" xfId="2" applyNumberFormat="1" applyFont="1" applyFill="1" applyBorder="1"/>
    <xf numFmtId="10" fontId="0" fillId="7" borderId="8" xfId="2" applyNumberFormat="1" applyFont="1" applyFill="1" applyBorder="1"/>
    <xf numFmtId="10" fontId="3" fillId="0" borderId="8" xfId="2" applyNumberFormat="1" applyFont="1" applyFill="1" applyBorder="1"/>
    <xf numFmtId="9" fontId="0" fillId="6" borderId="8" xfId="2" applyNumberFormat="1" applyFont="1" applyFill="1" applyBorder="1"/>
    <xf numFmtId="10" fontId="5" fillId="0" borderId="8" xfId="0" applyNumberFormat="1" applyFont="1" applyBorder="1"/>
    <xf numFmtId="10" fontId="0" fillId="0" borderId="8" xfId="0" applyNumberFormat="1" applyBorder="1"/>
    <xf numFmtId="4" fontId="0" fillId="0" borderId="9" xfId="0" applyNumberFormat="1" applyBorder="1"/>
    <xf numFmtId="164" fontId="5" fillId="0" borderId="0" xfId="0" applyNumberFormat="1" applyFont="1" applyBorder="1"/>
    <xf numFmtId="164" fontId="4" fillId="0" borderId="0" xfId="0" applyNumberFormat="1" applyFont="1" applyBorder="1"/>
    <xf numFmtId="167" fontId="0" fillId="0" borderId="0" xfId="0" applyNumberFormat="1" applyFill="1"/>
    <xf numFmtId="0" fontId="0" fillId="0" borderId="0" xfId="0" applyFill="1" applyAlignment="1">
      <alignment horizontal="center"/>
    </xf>
    <xf numFmtId="168" fontId="0" fillId="0" borderId="0" xfId="3" applyNumberFormat="1" applyFont="1" applyFill="1"/>
    <xf numFmtId="0" fontId="4" fillId="8" borderId="0" xfId="0" applyFont="1" applyFill="1"/>
    <xf numFmtId="3" fontId="0" fillId="8" borderId="9" xfId="0" applyNumberFormat="1" applyFill="1" applyBorder="1"/>
    <xf numFmtId="3" fontId="0" fillId="8" borderId="0" xfId="0" applyNumberFormat="1" applyFill="1"/>
    <xf numFmtId="9" fontId="0" fillId="8" borderId="8" xfId="2" applyNumberFormat="1" applyFont="1" applyFill="1" applyBorder="1"/>
    <xf numFmtId="10" fontId="0" fillId="8" borderId="8" xfId="2" applyNumberFormat="1" applyFont="1" applyFill="1" applyBorder="1"/>
    <xf numFmtId="168" fontId="0" fillId="6" borderId="0" xfId="3" applyNumberFormat="1" applyFont="1" applyFill="1"/>
    <xf numFmtId="167" fontId="0" fillId="6" borderId="0" xfId="0" applyNumberFormat="1" applyFill="1"/>
    <xf numFmtId="9" fontId="11" fillId="2" borderId="5" xfId="2" applyNumberFormat="1" applyFont="1" applyFill="1" applyBorder="1"/>
    <xf numFmtId="0" fontId="5" fillId="9" borderId="0" xfId="0" applyFont="1" applyFill="1"/>
    <xf numFmtId="0" fontId="5" fillId="9" borderId="0" xfId="0" applyFont="1" applyFill="1" applyAlignment="1">
      <alignment horizontal="center"/>
    </xf>
    <xf numFmtId="10" fontId="0" fillId="0" borderId="0" xfId="2" applyNumberFormat="1" applyFont="1" applyAlignment="1">
      <alignment horizontal="center"/>
    </xf>
    <xf numFmtId="0" fontId="0" fillId="7" borderId="9" xfId="0" applyFill="1" applyBorder="1"/>
    <xf numFmtId="0" fontId="0" fillId="7" borderId="0" xfId="0" applyFill="1" applyBorder="1"/>
    <xf numFmtId="0" fontId="0" fillId="8" borderId="9" xfId="0" applyFill="1" applyBorder="1"/>
    <xf numFmtId="0" fontId="0" fillId="8" borderId="0" xfId="0" applyFill="1" applyBorder="1"/>
    <xf numFmtId="0" fontId="0" fillId="0" borderId="9" xfId="0" applyFill="1" applyBorder="1"/>
    <xf numFmtId="0" fontId="0" fillId="0" borderId="0" xfId="0" applyFill="1" applyBorder="1"/>
    <xf numFmtId="9" fontId="0" fillId="0" borderId="0" xfId="2" applyFont="1" applyBorder="1"/>
    <xf numFmtId="44" fontId="0" fillId="0" borderId="0" xfId="1" applyFont="1" applyBorder="1"/>
    <xf numFmtId="164" fontId="0" fillId="0" borderId="0" xfId="0" applyNumberFormat="1" applyBorder="1"/>
    <xf numFmtId="164" fontId="0" fillId="6" borderId="0" xfId="0" applyNumberFormat="1" applyFill="1" applyBorder="1"/>
    <xf numFmtId="10" fontId="0" fillId="6" borderId="8" xfId="0" applyNumberFormat="1" applyFill="1" applyBorder="1"/>
    <xf numFmtId="1" fontId="0" fillId="0" borderId="9" xfId="0" applyNumberFormat="1" applyBorder="1"/>
    <xf numFmtId="166" fontId="0" fillId="7" borderId="8" xfId="2" applyNumberFormat="1" applyFont="1" applyFill="1" applyBorder="1"/>
    <xf numFmtId="166" fontId="0" fillId="8" borderId="8" xfId="2" applyNumberFormat="1" applyFont="1" applyFill="1" applyBorder="1"/>
    <xf numFmtId="166" fontId="0" fillId="0" borderId="8" xfId="2" applyNumberFormat="1" applyFont="1" applyFill="1" applyBorder="1"/>
    <xf numFmtId="166" fontId="0" fillId="0" borderId="8" xfId="2" applyNumberFormat="1" applyFont="1" applyBorder="1"/>
    <xf numFmtId="166" fontId="5" fillId="0" borderId="8" xfId="2" applyNumberFormat="1" applyFont="1" applyBorder="1"/>
    <xf numFmtId="10" fontId="4" fillId="0" borderId="8" xfId="2" applyNumberFormat="1" applyFont="1" applyBorder="1"/>
    <xf numFmtId="9" fontId="0" fillId="0" borderId="0" xfId="0" applyNumberFormat="1" applyFill="1"/>
    <xf numFmtId="0" fontId="4" fillId="0" borderId="14" xfId="0" applyFont="1" applyBorder="1" applyAlignment="1">
      <alignment horizontal="center"/>
    </xf>
    <xf numFmtId="9" fontId="0" fillId="0" borderId="0" xfId="2" applyNumberFormat="1" applyFont="1" applyBorder="1" applyAlignment="1">
      <alignment horizontal="center"/>
    </xf>
    <xf numFmtId="0" fontId="0" fillId="0" borderId="0" xfId="0" applyBorder="1" applyAlignment="1">
      <alignment horizontal="center"/>
    </xf>
    <xf numFmtId="3" fontId="11" fillId="2" borderId="18" xfId="2" applyNumberFormat="1" applyFont="1" applyFill="1" applyBorder="1"/>
    <xf numFmtId="0" fontId="4" fillId="7" borderId="0" xfId="0" applyFont="1" applyFill="1"/>
    <xf numFmtId="0" fontId="5" fillId="9" borderId="0" xfId="0" applyFont="1" applyFill="1" applyAlignment="1">
      <alignment horizontal="center"/>
    </xf>
    <xf numFmtId="0" fontId="5" fillId="0" borderId="0" xfId="0" applyFont="1" applyBorder="1" applyAlignment="1">
      <alignment horizontal="center"/>
    </xf>
    <xf numFmtId="5" fontId="0" fillId="3" borderId="0" xfId="0" applyNumberFormat="1" applyFill="1" applyAlignment="1">
      <alignment horizontal="right"/>
    </xf>
    <xf numFmtId="0" fontId="5" fillId="0" borderId="5" xfId="0" applyFont="1" applyFill="1" applyBorder="1" applyAlignment="1">
      <alignment horizontal="center"/>
    </xf>
    <xf numFmtId="0" fontId="5" fillId="9" borderId="0" xfId="0" applyFont="1" applyFill="1" applyAlignment="1">
      <alignment horizontal="center"/>
    </xf>
    <xf numFmtId="0" fontId="5" fillId="6" borderId="9" xfId="0" applyFont="1" applyFill="1" applyBorder="1" applyAlignment="1">
      <alignment horizontal="center"/>
    </xf>
    <xf numFmtId="0" fontId="5" fillId="6" borderId="0" xfId="0" applyFont="1" applyFill="1" applyBorder="1" applyAlignment="1">
      <alignment horizontal="center"/>
    </xf>
    <xf numFmtId="0" fontId="5" fillId="6" borderId="8" xfId="0" applyFont="1" applyFill="1" applyBorder="1" applyAlignment="1">
      <alignment horizontal="center"/>
    </xf>
    <xf numFmtId="0" fontId="5" fillId="0" borderId="0" xfId="0" applyFont="1" applyBorder="1" applyAlignment="1">
      <alignment horizontal="center"/>
    </xf>
    <xf numFmtId="0" fontId="8" fillId="0" borderId="10"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7" fillId="0" borderId="9"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9" fontId="5" fillId="0" borderId="6" xfId="2" applyNumberFormat="1" applyFont="1" applyFill="1" applyBorder="1"/>
    <xf numFmtId="3" fontId="4" fillId="2" borderId="9" xfId="0" applyNumberFormat="1" applyFont="1" applyFill="1" applyBorder="1"/>
    <xf numFmtId="164" fontId="4" fillId="2" borderId="0" xfId="1" applyNumberFormat="1" applyFont="1" applyFill="1" applyBorder="1"/>
  </cellXfs>
  <cellStyles count="8">
    <cellStyle name="Comma" xfId="3" builtinId="3"/>
    <cellStyle name="Currency" xfId="1" builtinId="4"/>
    <cellStyle name="Followed Hyperlink" xfId="5" builtinId="9" hidden="1"/>
    <cellStyle name="Followed Hyperlink" xfId="7" builtinId="9" hidden="1"/>
    <cellStyle name="Hyperlink" xfId="4" builtinId="8" hidden="1"/>
    <cellStyle name="Hyperlink" xfId="6" builtinId="8" hidden="1"/>
    <cellStyle name="Normal" xfId="0" builtinId="0"/>
    <cellStyle name="Percent" xfId="2" builtinId="5"/>
  </cellStyles>
  <dxfs count="0"/>
  <tableStyles count="0" defaultTableStyle="TableStyleMedium2" defaultPivotStyle="PivotStyleLight16"/>
  <colors>
    <mruColors>
      <color rgb="FFFBFB8F"/>
      <color rgb="FFFF99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1</xdr:row>
      <xdr:rowOff>161924</xdr:rowOff>
    </xdr:from>
    <xdr:to>
      <xdr:col>15</xdr:col>
      <xdr:colOff>428624</xdr:colOff>
      <xdr:row>43</xdr:row>
      <xdr:rowOff>57150</xdr:rowOff>
    </xdr:to>
    <xdr:sp macro="" textlink="">
      <xdr:nvSpPr>
        <xdr:cNvPr id="2" name="TextBox 1"/>
        <xdr:cNvSpPr txBox="1"/>
      </xdr:nvSpPr>
      <xdr:spPr>
        <a:xfrm>
          <a:off x="1228725" y="323849"/>
          <a:ext cx="8343899" cy="6696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Startup Company Valuation and Dilution Calculator is</a:t>
          </a:r>
          <a:r>
            <a:rPr lang="en-US" sz="1100" baseline="0"/>
            <a:t> a pro-forma capitalization table designed for analyzing ownership percentages over successive financing stages of a growing company.  </a:t>
          </a:r>
        </a:p>
        <a:p>
          <a:endParaRPr lang="en-US" sz="1100" baseline="0"/>
        </a:p>
        <a:p>
          <a:r>
            <a:rPr lang="en-US" sz="1100" baseline="0"/>
            <a:t>You may input values into the sections that are highlighted in blue.  The calculator derives the other values in the pro-forma cap table.  </a:t>
          </a:r>
        </a:p>
        <a:p>
          <a:endParaRPr lang="en-US" sz="1100" baseline="0"/>
        </a:p>
        <a:p>
          <a:r>
            <a:rPr lang="en-US" sz="1100" baseline="0"/>
            <a:t>The key values that the user must enter into the "</a:t>
          </a:r>
          <a:r>
            <a:rPr lang="en-US" sz="1100" b="1" baseline="0"/>
            <a:t>Calculator</a:t>
          </a:r>
          <a:r>
            <a:rPr lang="en-US" sz="1100" baseline="0"/>
            <a:t>" worksheet are:</a:t>
          </a:r>
        </a:p>
        <a:p>
          <a:endParaRPr lang="en-US" sz="1100" baseline="0"/>
        </a:p>
        <a:p>
          <a:pPr lvl="1"/>
          <a:r>
            <a:rPr lang="en-US" sz="1100" b="1" baseline="0"/>
            <a:t>"Amount of Raise"  -- </a:t>
          </a:r>
          <a:r>
            <a:rPr lang="en-US" sz="1100" b="0" baseline="0"/>
            <a:t>This is a</a:t>
          </a:r>
          <a:r>
            <a:rPr lang="en-US" sz="1100" baseline="0"/>
            <a:t>mount of funds projected to to be raised at each financing stage.</a:t>
          </a:r>
        </a:p>
        <a:p>
          <a:pPr lvl="1"/>
          <a:endParaRPr lang="en-US" sz="1100" baseline="0"/>
        </a:p>
        <a:p>
          <a:pPr lvl="1"/>
          <a:r>
            <a:rPr lang="en-US" sz="1100" b="1" baseline="0"/>
            <a:t>"% FD Post"  </a:t>
          </a:r>
          <a:r>
            <a:rPr lang="en-US" sz="1100" baseline="0"/>
            <a:t>-- This is short for "Percentage of the fully-diluted capitalization of the company, post financing."  At each financing stage, the user must determine how much of the company will be allocated to the new investor.  </a:t>
          </a:r>
        </a:p>
        <a:p>
          <a:pPr lvl="1"/>
          <a:endParaRPr lang="en-US" sz="1100" baseline="0"/>
        </a:p>
        <a:p>
          <a:pPr lvl="1"/>
          <a:r>
            <a:rPr lang="en-US" sz="1100" b="1" baseline="0"/>
            <a:t>"% of Round"  -- </a:t>
          </a:r>
          <a:r>
            <a:rPr lang="en-US" sz="1100" b="0" baseline="0"/>
            <a:t>This is short for "Percentage of the Investment Round".  For each investment round, rows are available for six different investors.  NOTE: The sum of the investor percentages must equal 100.  If not, you will have incorrect values for the other metrics on the spreadsheet.  </a:t>
          </a:r>
          <a:r>
            <a:rPr lang="en-US" sz="1100" b="0" baseline="0">
              <a:solidFill>
                <a:schemeClr val="dk1"/>
              </a:solidFill>
              <a:effectLst/>
              <a:latin typeface="+mn-lt"/>
              <a:ea typeface="+mn-ea"/>
              <a:cs typeface="+mn-cs"/>
            </a:rPr>
            <a:t>The number of investors - six - is arbitrary, and would normally be unknown for future rounds.  Insert zeros if there are less than six investors, or rows can be deleted. </a:t>
          </a:r>
        </a:p>
        <a:p>
          <a:pPr lvl="1"/>
          <a:endParaRPr lang="en-US" sz="1100" b="0" baseline="0">
            <a:solidFill>
              <a:schemeClr val="dk1"/>
            </a:solidFill>
            <a:effectLst/>
            <a:latin typeface="+mn-lt"/>
            <a:ea typeface="+mn-ea"/>
            <a:cs typeface="+mn-cs"/>
          </a:endParaRPr>
        </a:p>
        <a:p>
          <a:pPr lvl="1"/>
          <a:r>
            <a:rPr lang="en-US" sz="1100" b="1" baseline="0">
              <a:solidFill>
                <a:schemeClr val="dk1"/>
              </a:solidFill>
              <a:effectLst/>
              <a:latin typeface="+mn-lt"/>
              <a:ea typeface="+mn-ea"/>
              <a:cs typeface="+mn-cs"/>
            </a:rPr>
            <a:t>Shareholders</a:t>
          </a:r>
          <a:r>
            <a:rPr lang="en-US" sz="1100" b="0" baseline="0">
              <a:solidFill>
                <a:schemeClr val="dk1"/>
              </a:solidFill>
              <a:effectLst/>
              <a:latin typeface="+mn-lt"/>
              <a:ea typeface="+mn-ea"/>
              <a:cs typeface="+mn-cs"/>
            </a:rPr>
            <a:t> - - For each round, starting from the Founder Round, the user can edit the list ofshareholders/investors participating in the round.  To learn how to add and delete shareholders watch the instructional video available at </a:t>
          </a:r>
          <a:r>
            <a:rPr lang="en-US" sz="1100" b="0" u="sng" baseline="0">
              <a:solidFill>
                <a:schemeClr val="dk1"/>
              </a:solidFill>
              <a:effectLst/>
              <a:latin typeface="+mn-lt"/>
              <a:ea typeface="+mn-ea"/>
              <a:cs typeface="+mn-cs"/>
            </a:rPr>
            <a:t>www.startuplawtalk.com.</a:t>
          </a:r>
          <a:endParaRPr lang="en-US" sz="1100" b="0" baseline="0">
            <a:solidFill>
              <a:schemeClr val="dk1"/>
            </a:solidFill>
            <a:effectLst/>
            <a:latin typeface="+mn-lt"/>
            <a:ea typeface="+mn-ea"/>
            <a:cs typeface="+mn-cs"/>
          </a:endParaRPr>
        </a:p>
        <a:p>
          <a:pPr lvl="1"/>
          <a:endParaRPr lang="en-US" sz="1100" b="0" baseline="0">
            <a:solidFill>
              <a:schemeClr val="dk1"/>
            </a:solidFill>
            <a:effectLst/>
            <a:latin typeface="+mn-lt"/>
            <a:ea typeface="+mn-ea"/>
            <a:cs typeface="+mn-cs"/>
          </a:endParaRPr>
        </a:p>
        <a:p>
          <a:pPr lvl="0"/>
          <a:r>
            <a:rPr lang="en-US" sz="1100" b="1" baseline="0">
              <a:solidFill>
                <a:schemeClr val="dk1"/>
              </a:solidFill>
              <a:effectLst/>
              <a:latin typeface="+mn-lt"/>
              <a:ea typeface="+mn-ea"/>
              <a:cs typeface="+mn-cs"/>
            </a:rPr>
            <a:t>Calculator (2)</a:t>
          </a:r>
          <a:r>
            <a:rPr lang="en-US" sz="1100" b="0" baseline="0">
              <a:solidFill>
                <a:schemeClr val="dk1"/>
              </a:solidFill>
              <a:effectLst/>
              <a:latin typeface="+mn-lt"/>
              <a:ea typeface="+mn-ea"/>
              <a:cs typeface="+mn-cs"/>
            </a:rPr>
            <a:t> is an alternative spreadsheet that allows the user to imput the actual share amounts and the actual dollar amounts paid for the founder round and the spreadsheet calculates percentage interest.   Otherwise it works just like  the </a:t>
          </a:r>
          <a:r>
            <a:rPr lang="en-US" sz="1100" b="1" baseline="0">
              <a:solidFill>
                <a:schemeClr val="dk1"/>
              </a:solidFill>
              <a:effectLst/>
              <a:latin typeface="+mn-lt"/>
              <a:ea typeface="+mn-ea"/>
              <a:cs typeface="+mn-cs"/>
            </a:rPr>
            <a:t>Calculator</a:t>
          </a:r>
          <a:r>
            <a:rPr lang="en-US" sz="1100" b="0" baseline="0">
              <a:solidFill>
                <a:schemeClr val="dk1"/>
              </a:solidFill>
              <a:effectLst/>
              <a:latin typeface="+mn-lt"/>
              <a:ea typeface="+mn-ea"/>
              <a:cs typeface="+mn-cs"/>
            </a:rPr>
            <a:t>.</a:t>
          </a:r>
        </a:p>
        <a:p>
          <a:pPr lvl="1"/>
          <a:endParaRPr lang="en-US" sz="1100" b="0" baseline="0">
            <a:solidFill>
              <a:schemeClr val="dk1"/>
            </a:solidFill>
            <a:effectLst/>
            <a:latin typeface="+mn-lt"/>
            <a:ea typeface="+mn-ea"/>
            <a:cs typeface="+mn-cs"/>
          </a:endParaRPr>
        </a:p>
        <a:p>
          <a:pPr lvl="0"/>
          <a:r>
            <a:rPr lang="en-US" sz="1100" b="0" baseline="0">
              <a:solidFill>
                <a:schemeClr val="dk1"/>
              </a:solidFill>
              <a:effectLst/>
              <a:latin typeface="+mn-lt"/>
              <a:ea typeface="+mn-ea"/>
              <a:cs typeface="+mn-cs"/>
            </a:rPr>
            <a:t>Note:  This spreadsheet is for estimating values in the future.   This spreadsheet can not be used as an actual capitlization table for your company without changing the formulas.</a:t>
          </a:r>
        </a:p>
        <a:p>
          <a:pPr lvl="0"/>
          <a:endParaRPr lang="en-US" sz="1100" b="0" baseline="0">
            <a:solidFill>
              <a:schemeClr val="dk1"/>
            </a:solidFill>
            <a:effectLst/>
            <a:latin typeface="+mn-lt"/>
            <a:ea typeface="+mn-ea"/>
            <a:cs typeface="+mn-cs"/>
          </a:endParaRPr>
        </a:p>
        <a:p>
          <a:pPr lvl="0"/>
          <a:r>
            <a:rPr lang="en-US" sz="1100" b="0" baseline="0">
              <a:solidFill>
                <a:schemeClr val="dk1"/>
              </a:solidFill>
              <a:effectLst/>
              <a:latin typeface="+mn-lt"/>
              <a:ea typeface="+mn-ea"/>
              <a:cs typeface="+mn-cs"/>
            </a:rPr>
            <a:t>Copies of the Valuation and Dilution Calculator can be downloaded at </a:t>
          </a:r>
          <a:r>
            <a:rPr lang="en-US" sz="1100" b="0" u="sng" baseline="0">
              <a:solidFill>
                <a:schemeClr val="dk1"/>
              </a:solidFill>
              <a:effectLst/>
              <a:latin typeface="+mn-lt"/>
              <a:ea typeface="+mn-ea"/>
              <a:cs typeface="+mn-cs"/>
            </a:rPr>
            <a:t>www.startuplawtalk.com</a:t>
          </a:r>
          <a:r>
            <a:rPr lang="en-US" sz="1100" b="0" baseline="0">
              <a:solidFill>
                <a:schemeClr val="dk1"/>
              </a:solidFill>
              <a:effectLst/>
              <a:latin typeface="+mn-lt"/>
              <a:ea typeface="+mn-ea"/>
              <a:cs typeface="+mn-cs"/>
            </a:rPr>
            <a:t>.</a:t>
          </a:r>
        </a:p>
        <a:p>
          <a:pPr lvl="0"/>
          <a:endParaRPr lang="en-US" sz="1100" b="0" baseline="0">
            <a:solidFill>
              <a:schemeClr val="dk1"/>
            </a:solidFill>
            <a:effectLst/>
            <a:latin typeface="+mn-lt"/>
            <a:ea typeface="+mn-ea"/>
            <a:cs typeface="+mn-cs"/>
          </a:endParaRPr>
        </a:p>
        <a:p>
          <a:pPr lvl="0"/>
          <a:r>
            <a:rPr lang="en-US" sz="1100" b="0" baseline="0"/>
            <a:t>Questions and comments regarding the </a:t>
          </a:r>
          <a:r>
            <a:rPr lang="en-US" sz="1100" b="0" baseline="0">
              <a:solidFill>
                <a:schemeClr val="dk1"/>
              </a:solidFill>
              <a:effectLst/>
              <a:latin typeface="+mn-lt"/>
              <a:ea typeface="+mn-ea"/>
              <a:cs typeface="+mn-cs"/>
            </a:rPr>
            <a:t>Valuation and Dilution Calculator  can be posted at </a:t>
          </a:r>
          <a:r>
            <a:rPr lang="en-US" sz="1100" b="0" u="sng" baseline="0">
              <a:solidFill>
                <a:schemeClr val="dk1"/>
              </a:solidFill>
              <a:effectLst/>
              <a:latin typeface="+mn-lt"/>
              <a:ea typeface="+mn-ea"/>
              <a:cs typeface="+mn-cs"/>
            </a:rPr>
            <a:t>www.startuplawtalk.com</a:t>
          </a:r>
          <a:r>
            <a:rPr lang="en-US" sz="1100" b="0" u="none" baseline="0">
              <a:solidFill>
                <a:schemeClr val="dk1"/>
              </a:solidFill>
              <a:effectLst/>
              <a:latin typeface="+mn-lt"/>
              <a:ea typeface="+mn-ea"/>
              <a:cs typeface="+mn-cs"/>
            </a:rPr>
            <a:t> or emailed to carter.mackley@mackleylaw.com.</a:t>
          </a:r>
        </a:p>
        <a:p>
          <a:pPr lvl="0"/>
          <a:endParaRPr lang="en-US" sz="1100" b="0" u="non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Copyright © 2012 Mackley &amp; Mackley, PLLC</a:t>
          </a:r>
        </a:p>
        <a:p>
          <a:pPr lvl="0"/>
          <a:endParaRPr lang="en-US" sz="1100" b="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O82"/>
  <sheetViews>
    <sheetView workbookViewId="0">
      <selection activeCell="I17" sqref="I17"/>
    </sheetView>
  </sheetViews>
  <sheetFormatPr defaultColWidth="8.85546875" defaultRowHeight="12.75" x14ac:dyDescent="0.2"/>
  <cols>
    <col min="1" max="1" width="21.85546875" customWidth="1"/>
    <col min="2" max="2" width="23.42578125" customWidth="1"/>
    <col min="3" max="3" width="12.7109375" customWidth="1"/>
    <col min="4" max="4" width="9" customWidth="1"/>
    <col min="5" max="5" width="11.85546875" customWidth="1"/>
    <col min="6" max="6" width="11.7109375" customWidth="1"/>
    <col min="7" max="7" width="10.42578125" customWidth="1"/>
    <col min="8" max="8" width="10.28515625" customWidth="1"/>
    <col min="9" max="10" width="11.7109375" customWidth="1"/>
    <col min="11" max="11" width="12.42578125" customWidth="1"/>
    <col min="12" max="12" width="11.7109375" customWidth="1"/>
    <col min="13" max="13" width="12.7109375" customWidth="1"/>
    <col min="14" max="14" width="10.28515625" customWidth="1"/>
    <col min="15" max="15" width="10.42578125" bestFit="1" customWidth="1"/>
    <col min="16" max="16" width="14.28515625" customWidth="1"/>
    <col min="17" max="17" width="13.28515625" customWidth="1"/>
    <col min="18" max="18" width="10.28515625" customWidth="1"/>
    <col min="19" max="19" width="10.7109375" customWidth="1"/>
    <col min="20" max="20" width="12.140625" customWidth="1"/>
    <col min="21" max="21" width="13.7109375" customWidth="1"/>
    <col min="22" max="22" width="10.28515625" customWidth="1"/>
  </cols>
  <sheetData>
    <row r="2" spans="1:93" ht="18" x14ac:dyDescent="0.25">
      <c r="B2" s="144" t="s">
        <v>41</v>
      </c>
      <c r="C2" s="145"/>
      <c r="D2" s="145"/>
      <c r="E2" s="145"/>
      <c r="F2" s="145"/>
      <c r="G2" s="145"/>
      <c r="H2" s="145"/>
      <c r="I2" s="145"/>
      <c r="J2" s="145"/>
      <c r="K2" s="145"/>
      <c r="L2" s="145"/>
      <c r="M2" s="145"/>
      <c r="N2" s="146"/>
    </row>
    <row r="3" spans="1:93" x14ac:dyDescent="0.2">
      <c r="B3" s="147" t="s">
        <v>42</v>
      </c>
      <c r="C3" s="148"/>
      <c r="D3" s="148"/>
      <c r="E3" s="148"/>
      <c r="F3" s="148"/>
      <c r="G3" s="148"/>
      <c r="H3" s="148"/>
      <c r="I3" s="148"/>
      <c r="J3" s="148"/>
      <c r="K3" s="148"/>
      <c r="L3" s="148"/>
      <c r="M3" s="148"/>
      <c r="N3" s="149"/>
    </row>
    <row r="4" spans="1:93" x14ac:dyDescent="0.2">
      <c r="B4" s="150" t="s">
        <v>69</v>
      </c>
      <c r="C4" s="151"/>
      <c r="D4" s="151"/>
      <c r="E4" s="151"/>
      <c r="F4" s="151"/>
      <c r="G4" s="151"/>
      <c r="H4" s="151"/>
      <c r="I4" s="151"/>
      <c r="J4" s="151"/>
      <c r="K4" s="151"/>
      <c r="L4" s="151"/>
      <c r="M4" s="151"/>
      <c r="N4" s="152"/>
    </row>
    <row r="5" spans="1:93" x14ac:dyDescent="0.2">
      <c r="B5" s="6"/>
      <c r="C5" s="6"/>
      <c r="D5" s="6"/>
      <c r="E5" s="6"/>
      <c r="F5" s="6"/>
    </row>
    <row r="6" spans="1:93" ht="13.5" thickBot="1" x14ac:dyDescent="0.25">
      <c r="A6" s="108" t="s">
        <v>21</v>
      </c>
      <c r="B6" s="109"/>
      <c r="C6" s="139" t="s">
        <v>36</v>
      </c>
      <c r="D6" s="139"/>
      <c r="E6" s="139"/>
      <c r="F6" s="139"/>
      <c r="G6" s="139" t="s">
        <v>37</v>
      </c>
      <c r="H6" s="139"/>
      <c r="I6" s="139"/>
      <c r="J6" s="139"/>
      <c r="K6" s="139" t="s">
        <v>38</v>
      </c>
      <c r="L6" s="139"/>
      <c r="M6" s="139"/>
      <c r="N6" s="139"/>
      <c r="O6" s="139" t="s">
        <v>39</v>
      </c>
      <c r="P6" s="139"/>
      <c r="Q6" s="139"/>
      <c r="R6" s="139"/>
      <c r="S6" s="139" t="s">
        <v>33</v>
      </c>
      <c r="T6" s="139"/>
      <c r="U6" s="139"/>
      <c r="V6" s="139"/>
    </row>
    <row r="7" spans="1:93" x14ac:dyDescent="0.2">
      <c r="A7" s="5"/>
      <c r="B7" s="6"/>
      <c r="D7" s="6" t="s">
        <v>12</v>
      </c>
      <c r="E7" s="34" t="s">
        <v>68</v>
      </c>
      <c r="F7" s="35" t="s">
        <v>28</v>
      </c>
      <c r="I7" s="34" t="s">
        <v>68</v>
      </c>
      <c r="J7" s="35" t="s">
        <v>28</v>
      </c>
      <c r="M7" s="34" t="s">
        <v>68</v>
      </c>
      <c r="N7" s="35" t="s">
        <v>28</v>
      </c>
      <c r="Q7" s="34" t="s">
        <v>68</v>
      </c>
      <c r="R7" s="35" t="s">
        <v>28</v>
      </c>
      <c r="U7" s="34" t="s">
        <v>68</v>
      </c>
      <c r="V7" s="35" t="s">
        <v>28</v>
      </c>
    </row>
    <row r="8" spans="1:93" ht="13.5" thickBot="1" x14ac:dyDescent="0.25">
      <c r="A8" s="5" t="s">
        <v>67</v>
      </c>
      <c r="B8" s="6"/>
      <c r="C8" s="6"/>
      <c r="D8" s="6"/>
      <c r="E8" s="37">
        <v>20000</v>
      </c>
      <c r="F8" s="38">
        <v>1</v>
      </c>
      <c r="I8" s="37">
        <v>50000</v>
      </c>
      <c r="J8" s="38">
        <v>0.15</v>
      </c>
      <c r="M8" s="37">
        <v>1000000</v>
      </c>
      <c r="N8" s="38">
        <v>0.15</v>
      </c>
      <c r="Q8" s="37">
        <v>10000000</v>
      </c>
      <c r="R8" s="38">
        <v>0.2</v>
      </c>
      <c r="U8" s="37">
        <v>40000000</v>
      </c>
      <c r="V8" s="38">
        <v>0.1</v>
      </c>
    </row>
    <row r="9" spans="1:93" s="25" customFormat="1" x14ac:dyDescent="0.2">
      <c r="A9" s="22" t="s">
        <v>70</v>
      </c>
      <c r="B9" s="23"/>
      <c r="C9" s="23"/>
      <c r="D9" s="23"/>
      <c r="E9" s="33">
        <f>E8/C21</f>
        <v>2E-3</v>
      </c>
      <c r="F9" s="24"/>
      <c r="I9" s="26">
        <f>I10/C21</f>
        <v>2.8333333333333339E-2</v>
      </c>
      <c r="J9" s="24"/>
      <c r="M9" s="26">
        <f>M10/G78</f>
        <v>0.48166666666666669</v>
      </c>
      <c r="N9" s="24"/>
      <c r="Q9" s="26">
        <f>Q10/K78</f>
        <v>2.89</v>
      </c>
      <c r="R9" s="24"/>
      <c r="U9" s="26">
        <f>U10/O78</f>
        <v>20.808</v>
      </c>
      <c r="V9" s="129"/>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row>
    <row r="10" spans="1:93" s="20" customFormat="1" x14ac:dyDescent="0.2">
      <c r="A10" s="17" t="s">
        <v>20</v>
      </c>
      <c r="B10" s="18"/>
      <c r="C10" s="18"/>
      <c r="D10" s="18"/>
      <c r="E10" s="19">
        <v>0</v>
      </c>
      <c r="I10" s="21">
        <f>I11-I8</f>
        <v>283333.33333333337</v>
      </c>
      <c r="M10" s="21">
        <f>M11-M8</f>
        <v>5666666.666666667</v>
      </c>
      <c r="Q10" s="21">
        <f>Q11-Q8</f>
        <v>40000000</v>
      </c>
      <c r="U10" s="21">
        <f>U11-U8</f>
        <v>360000000</v>
      </c>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row>
    <row r="11" spans="1:93" s="32" customFormat="1" x14ac:dyDescent="0.2">
      <c r="A11" s="29" t="s">
        <v>22</v>
      </c>
      <c r="B11" s="30"/>
      <c r="C11" s="30"/>
      <c r="D11" s="30"/>
      <c r="E11" s="31">
        <f>E8/F8</f>
        <v>20000</v>
      </c>
      <c r="I11" s="31">
        <f>I8/J8</f>
        <v>333333.33333333337</v>
      </c>
      <c r="M11" s="31">
        <f>M8/N8</f>
        <v>6666666.666666667</v>
      </c>
      <c r="Q11" s="31">
        <f>Q8/R8</f>
        <v>50000000</v>
      </c>
      <c r="U11" s="31">
        <f>U8/V8</f>
        <v>400000000</v>
      </c>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row>
    <row r="12" spans="1:93" ht="13.5" thickBot="1" x14ac:dyDescent="0.25">
      <c r="B12" s="6"/>
      <c r="C12" s="6"/>
      <c r="D12" s="6"/>
      <c r="E12" s="6"/>
      <c r="F12" s="6"/>
    </row>
    <row r="13" spans="1:93" x14ac:dyDescent="0.2">
      <c r="B13" s="6" t="s">
        <v>1</v>
      </c>
      <c r="C13" s="62" t="s">
        <v>74</v>
      </c>
      <c r="D13" s="63" t="s">
        <v>27</v>
      </c>
      <c r="E13" s="36" t="s">
        <v>23</v>
      </c>
      <c r="F13" s="64" t="s">
        <v>28</v>
      </c>
      <c r="G13" s="62" t="s">
        <v>9</v>
      </c>
      <c r="H13" s="70" t="s">
        <v>27</v>
      </c>
      <c r="I13" s="70" t="s">
        <v>23</v>
      </c>
      <c r="J13" s="71" t="s">
        <v>28</v>
      </c>
      <c r="K13" s="62" t="s">
        <v>9</v>
      </c>
      <c r="L13" s="70" t="s">
        <v>27</v>
      </c>
      <c r="M13" s="70" t="s">
        <v>23</v>
      </c>
      <c r="N13" s="71" t="s">
        <v>28</v>
      </c>
      <c r="O13" s="62" t="s">
        <v>9</v>
      </c>
      <c r="P13" s="70" t="s">
        <v>27</v>
      </c>
      <c r="Q13" s="70" t="s">
        <v>23</v>
      </c>
      <c r="R13" s="71" t="s">
        <v>28</v>
      </c>
      <c r="S13" s="62" t="s">
        <v>9</v>
      </c>
      <c r="T13" s="70" t="s">
        <v>27</v>
      </c>
      <c r="U13" s="70" t="s">
        <v>23</v>
      </c>
      <c r="V13" s="71" t="s">
        <v>28</v>
      </c>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row>
    <row r="14" spans="1:93" s="20" customFormat="1" x14ac:dyDescent="0.2">
      <c r="A14" s="15"/>
      <c r="B14" s="134" t="s">
        <v>72</v>
      </c>
      <c r="C14" s="86">
        <f>E14*$C$21</f>
        <v>3800000</v>
      </c>
      <c r="D14" s="87">
        <f>C14*$E$9</f>
        <v>7600</v>
      </c>
      <c r="E14" s="39">
        <v>0.38</v>
      </c>
      <c r="F14" s="88">
        <f>E14</f>
        <v>0.38</v>
      </c>
      <c r="G14" s="85"/>
      <c r="H14" s="85"/>
      <c r="I14" s="85"/>
      <c r="J14" s="88">
        <f>C14/$G$78</f>
        <v>0.32300000000000001</v>
      </c>
      <c r="K14" s="85"/>
      <c r="L14" s="85"/>
      <c r="M14" s="85"/>
      <c r="N14" s="89">
        <f>C14/$K$78</f>
        <v>0.27455000000000002</v>
      </c>
      <c r="O14" s="111"/>
      <c r="P14" s="112"/>
      <c r="Q14" s="112"/>
      <c r="R14" s="89">
        <f>C14/$O$78</f>
        <v>0.21964000000000003</v>
      </c>
      <c r="S14" s="111"/>
      <c r="T14" s="112"/>
      <c r="U14" s="112"/>
      <c r="V14" s="123">
        <f>C14/$S$78</f>
        <v>0.19767599999999999</v>
      </c>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row>
    <row r="15" spans="1:93" s="25" customFormat="1" x14ac:dyDescent="0.2">
      <c r="A15" s="27"/>
      <c r="B15" s="100" t="s">
        <v>73</v>
      </c>
      <c r="C15" s="101">
        <f>E15*$C$21</f>
        <v>3200000</v>
      </c>
      <c r="D15" s="102">
        <f t="shared" ref="D15:D20" si="0">C15*$E$9</f>
        <v>6400</v>
      </c>
      <c r="E15" s="39">
        <v>0.32</v>
      </c>
      <c r="F15" s="103">
        <f t="shared" ref="F15:F21" si="1">E15</f>
        <v>0.32</v>
      </c>
      <c r="G15" s="114"/>
      <c r="H15" s="114"/>
      <c r="I15" s="114"/>
      <c r="J15" s="103">
        <f>C15/$G$78</f>
        <v>0.27200000000000002</v>
      </c>
      <c r="K15" s="114"/>
      <c r="L15" s="114"/>
      <c r="M15" s="114"/>
      <c r="N15" s="104">
        <f>C15/$K$78</f>
        <v>0.23120000000000002</v>
      </c>
      <c r="O15" s="113"/>
      <c r="P15" s="114"/>
      <c r="Q15" s="114"/>
      <c r="R15" s="104">
        <f>C15/$O$78</f>
        <v>0.18496000000000001</v>
      </c>
      <c r="S15" s="113"/>
      <c r="T15" s="114"/>
      <c r="U15" s="114"/>
      <c r="V15" s="124">
        <f>C15/$S$78</f>
        <v>0.166464</v>
      </c>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row>
    <row r="16" spans="1:93" x14ac:dyDescent="0.2">
      <c r="B16" s="28" t="s">
        <v>71</v>
      </c>
      <c r="C16" s="53">
        <f>E16*$C$21</f>
        <v>200000</v>
      </c>
      <c r="D16" s="16">
        <f t="shared" si="0"/>
        <v>400</v>
      </c>
      <c r="E16" s="39">
        <v>0.02</v>
      </c>
      <c r="F16" s="48">
        <f t="shared" ref="F16" si="2">E16</f>
        <v>0.02</v>
      </c>
      <c r="G16" s="80"/>
      <c r="H16" s="80"/>
      <c r="I16" s="80"/>
      <c r="J16" s="48">
        <f>C16/$G$78</f>
        <v>1.7000000000000001E-2</v>
      </c>
      <c r="K16" s="80"/>
      <c r="L16" s="80"/>
      <c r="M16" s="80"/>
      <c r="N16" s="90">
        <f>C16/$K$78</f>
        <v>1.4450000000000001E-2</v>
      </c>
      <c r="O16" s="115"/>
      <c r="P16" s="116"/>
      <c r="Q16" s="116"/>
      <c r="R16" s="90">
        <f>C16/$O$78</f>
        <v>1.1560000000000001E-2</v>
      </c>
      <c r="S16" s="115"/>
      <c r="T16" s="116"/>
      <c r="U16" s="116"/>
      <c r="V16" s="125">
        <f>C16/$S$78</f>
        <v>1.0404E-2</v>
      </c>
      <c r="W16" s="15"/>
    </row>
    <row r="17" spans="1:23" x14ac:dyDescent="0.2">
      <c r="B17" s="28" t="s">
        <v>40</v>
      </c>
      <c r="C17" s="53">
        <f>E17*$C$21</f>
        <v>300000</v>
      </c>
      <c r="D17" s="16">
        <f t="shared" ref="D17" si="3">C17*$E$9</f>
        <v>600</v>
      </c>
      <c r="E17" s="39">
        <v>0.03</v>
      </c>
      <c r="F17" s="48">
        <f t="shared" ref="F17" si="4">E17</f>
        <v>0.03</v>
      </c>
      <c r="G17" s="80"/>
      <c r="H17" s="80"/>
      <c r="I17" s="80"/>
      <c r="J17" s="48">
        <f>C17/$G$78</f>
        <v>2.5500000000000002E-2</v>
      </c>
      <c r="K17" s="80"/>
      <c r="L17" s="80"/>
      <c r="M17" s="80"/>
      <c r="N17" s="90">
        <f>C17/$K$78</f>
        <v>2.1675E-2</v>
      </c>
      <c r="O17" s="115"/>
      <c r="P17" s="116"/>
      <c r="Q17" s="116"/>
      <c r="R17" s="90">
        <f>C17/$O$78</f>
        <v>1.7340000000000001E-2</v>
      </c>
      <c r="S17" s="115"/>
      <c r="T17" s="116"/>
      <c r="U17" s="116"/>
      <c r="V17" s="125">
        <f>C17/$S$78</f>
        <v>1.5606E-2</v>
      </c>
      <c r="W17" s="15"/>
    </row>
    <row r="18" spans="1:23" x14ac:dyDescent="0.2">
      <c r="B18" s="28" t="s">
        <v>40</v>
      </c>
      <c r="C18" s="53">
        <f t="shared" ref="C18" si="5">E18*$C$21</f>
        <v>300000</v>
      </c>
      <c r="D18" s="16">
        <f t="shared" ref="D18" si="6">C18*$E$9</f>
        <v>600</v>
      </c>
      <c r="E18" s="39">
        <v>0.03</v>
      </c>
      <c r="F18" s="48">
        <f t="shared" ref="F18" si="7">E18</f>
        <v>0.03</v>
      </c>
      <c r="G18" s="80"/>
      <c r="H18" s="80"/>
      <c r="I18" s="80"/>
      <c r="J18" s="48">
        <f t="shared" ref="J18" si="8">C18/$G$78</f>
        <v>2.5500000000000002E-2</v>
      </c>
      <c r="K18" s="80"/>
      <c r="L18" s="80"/>
      <c r="M18" s="80"/>
      <c r="N18" s="90">
        <f t="shared" ref="N18" si="9">C18/$K$78</f>
        <v>2.1675E-2</v>
      </c>
      <c r="O18" s="115"/>
      <c r="P18" s="116"/>
      <c r="Q18" s="116"/>
      <c r="R18" s="90">
        <f t="shared" ref="R18" si="10">C18/$O$78</f>
        <v>1.7340000000000001E-2</v>
      </c>
      <c r="S18" s="115"/>
      <c r="T18" s="116"/>
      <c r="U18" s="116"/>
      <c r="V18" s="125">
        <f t="shared" ref="V18" si="11">C18/$S$78</f>
        <v>1.5606E-2</v>
      </c>
      <c r="W18" s="15"/>
    </row>
    <row r="19" spans="1:23" x14ac:dyDescent="0.2">
      <c r="B19" s="1" t="s">
        <v>35</v>
      </c>
      <c r="C19" s="53">
        <f>E19*$C$21</f>
        <v>200000</v>
      </c>
      <c r="D19" s="16">
        <f t="shared" si="0"/>
        <v>400</v>
      </c>
      <c r="E19" s="39">
        <v>0.02</v>
      </c>
      <c r="F19" s="49">
        <f t="shared" si="1"/>
        <v>0.02</v>
      </c>
      <c r="G19" s="82"/>
      <c r="H19" s="82"/>
      <c r="I19" s="82"/>
      <c r="J19" s="49">
        <f>C19/$G$78</f>
        <v>1.7000000000000001E-2</v>
      </c>
      <c r="K19" s="82"/>
      <c r="L19" s="82"/>
      <c r="M19" s="82"/>
      <c r="N19" s="51">
        <f>C19/$K$78</f>
        <v>1.4450000000000001E-2</v>
      </c>
      <c r="O19" s="57"/>
      <c r="P19" s="80"/>
      <c r="Q19" s="80"/>
      <c r="R19" s="51">
        <f>C19/$O$78</f>
        <v>1.1560000000000001E-2</v>
      </c>
      <c r="S19" s="57"/>
      <c r="T19" s="80"/>
      <c r="U19" s="80"/>
      <c r="V19" s="126">
        <f>C19/$S$78</f>
        <v>1.0404E-2</v>
      </c>
    </row>
    <row r="20" spans="1:23" ht="13.5" thickBot="1" x14ac:dyDescent="0.25">
      <c r="B20" s="1" t="s">
        <v>19</v>
      </c>
      <c r="C20" s="53">
        <f>E20*$C$21</f>
        <v>2000000</v>
      </c>
      <c r="D20" s="16">
        <f t="shared" si="0"/>
        <v>4000</v>
      </c>
      <c r="E20" s="40">
        <v>0.2</v>
      </c>
      <c r="F20" s="49">
        <f t="shared" si="1"/>
        <v>0.2</v>
      </c>
      <c r="G20" s="80"/>
      <c r="H20" s="80"/>
      <c r="I20" s="80"/>
      <c r="J20" s="49">
        <f>C20/$G$78</f>
        <v>0.17</v>
      </c>
      <c r="K20" s="80"/>
      <c r="L20" s="80"/>
      <c r="M20" s="80"/>
      <c r="N20" s="51">
        <f>C20/$K$78</f>
        <v>0.14449999999999999</v>
      </c>
      <c r="O20" s="57"/>
      <c r="P20" s="80"/>
      <c r="Q20" s="80"/>
      <c r="R20" s="51">
        <f>C20/$O$78</f>
        <v>0.11560000000000001</v>
      </c>
      <c r="S20" s="57"/>
      <c r="T20" s="80"/>
      <c r="U20" s="80"/>
      <c r="V20" s="126">
        <f>C20/$S$78</f>
        <v>0.10404000000000001</v>
      </c>
    </row>
    <row r="21" spans="1:23" s="5" customFormat="1" ht="13.5" thickBot="1" x14ac:dyDescent="0.25">
      <c r="B21" s="5" t="s">
        <v>25</v>
      </c>
      <c r="C21" s="133">
        <v>10000000</v>
      </c>
      <c r="D21" s="12">
        <f>SUM(D14:D20)</f>
        <v>20000</v>
      </c>
      <c r="E21" s="14">
        <f>(SUM(E14:E20))</f>
        <v>1</v>
      </c>
      <c r="F21" s="50">
        <f t="shared" si="1"/>
        <v>1</v>
      </c>
      <c r="J21" s="72">
        <f>SUM(J14:J20)</f>
        <v>0.85</v>
      </c>
      <c r="K21" s="99"/>
      <c r="L21" s="97"/>
      <c r="M21" s="98"/>
      <c r="N21" s="50">
        <f>C21/$K$78</f>
        <v>0.72250000000000003</v>
      </c>
      <c r="O21" s="58"/>
      <c r="P21" s="82"/>
      <c r="Q21" s="82"/>
      <c r="R21" s="50">
        <f>SUM(R14:R20)</f>
        <v>0.57800000000000018</v>
      </c>
      <c r="S21" s="58"/>
      <c r="T21" s="82"/>
      <c r="U21" s="82"/>
      <c r="V21" s="127">
        <f>C21/$S$78</f>
        <v>0.5202</v>
      </c>
    </row>
    <row r="22" spans="1:23" x14ac:dyDescent="0.2">
      <c r="C22" s="55"/>
      <c r="D22" s="8"/>
      <c r="E22" s="110" t="str">
        <f>IF(SUM(E14:E20)=1," ","Error≠100%")</f>
        <v xml:space="preserve"> </v>
      </c>
      <c r="F22" s="51" t="s">
        <v>12</v>
      </c>
      <c r="J22" s="49"/>
      <c r="K22" s="99"/>
      <c r="L22" s="97"/>
      <c r="M22" s="98"/>
      <c r="N22" s="49"/>
      <c r="O22" s="57"/>
      <c r="P22" s="80"/>
      <c r="Q22" s="80"/>
      <c r="R22" s="51"/>
      <c r="S22" s="57"/>
      <c r="T22" s="80"/>
      <c r="U22" s="80"/>
      <c r="V22" s="51"/>
    </row>
    <row r="23" spans="1:23" ht="13.5" thickBot="1" x14ac:dyDescent="0.25">
      <c r="B23" s="41" t="s">
        <v>24</v>
      </c>
      <c r="C23" s="56"/>
      <c r="D23" s="42"/>
      <c r="E23" s="43"/>
      <c r="F23" s="52"/>
      <c r="G23" s="140" t="str">
        <f>B23</f>
        <v>B Round</v>
      </c>
      <c r="H23" s="141"/>
      <c r="I23" s="141"/>
      <c r="J23" s="142"/>
      <c r="K23" s="105"/>
      <c r="L23" s="106"/>
      <c r="M23" s="69"/>
      <c r="N23" s="91"/>
      <c r="O23" s="59"/>
      <c r="P23" s="79"/>
      <c r="Q23" s="79"/>
      <c r="R23" s="52"/>
      <c r="S23" s="59"/>
      <c r="T23" s="79"/>
      <c r="U23" s="79"/>
      <c r="V23" s="52"/>
    </row>
    <row r="24" spans="1:23" x14ac:dyDescent="0.2">
      <c r="A24" s="1" t="s">
        <v>12</v>
      </c>
      <c r="B24" s="1" t="s">
        <v>43</v>
      </c>
      <c r="C24" s="57"/>
      <c r="F24" s="45"/>
      <c r="G24" s="73">
        <f t="shared" ref="G24:G29" si="12">H24/$I$9</f>
        <v>1058823.5294117646</v>
      </c>
      <c r="H24" s="74">
        <f t="shared" ref="H24:H29" si="13">$H$30*I24</f>
        <v>30000</v>
      </c>
      <c r="I24" s="107">
        <v>0.6</v>
      </c>
      <c r="J24" s="49">
        <f t="shared" ref="J24:J29" si="14">G24/$G$78</f>
        <v>0.09</v>
      </c>
      <c r="N24" s="51">
        <f t="shared" ref="N24:N29" si="15">G24/$K$78</f>
        <v>7.6499999999999999E-2</v>
      </c>
      <c r="O24" s="57"/>
      <c r="P24" s="80"/>
      <c r="Q24" s="80"/>
      <c r="R24" s="51">
        <f t="shared" ref="R24:R29" si="16">G24/$O$78</f>
        <v>6.1199999999999997E-2</v>
      </c>
      <c r="S24" s="57"/>
      <c r="T24" s="80"/>
      <c r="U24" s="80"/>
      <c r="V24" s="51">
        <f t="shared" ref="V24:V29" si="17">G24/$S$78</f>
        <v>5.5079999999999997E-2</v>
      </c>
    </row>
    <row r="25" spans="1:23" x14ac:dyDescent="0.2">
      <c r="B25" s="1" t="s">
        <v>44</v>
      </c>
      <c r="C25" s="57"/>
      <c r="F25" s="45"/>
      <c r="G25" s="73">
        <f t="shared" si="12"/>
        <v>705882.35294117639</v>
      </c>
      <c r="H25" s="74">
        <f t="shared" si="13"/>
        <v>20000</v>
      </c>
      <c r="I25" s="39">
        <v>0.4</v>
      </c>
      <c r="J25" s="49">
        <f t="shared" si="14"/>
        <v>0.06</v>
      </c>
      <c r="K25" s="80"/>
      <c r="L25" s="80"/>
      <c r="M25" s="80"/>
      <c r="N25" s="51">
        <f t="shared" si="15"/>
        <v>5.0999999999999997E-2</v>
      </c>
      <c r="O25" s="57"/>
      <c r="P25" s="80"/>
      <c r="Q25" s="80"/>
      <c r="R25" s="51">
        <f t="shared" si="16"/>
        <v>4.0799999999999996E-2</v>
      </c>
      <c r="S25" s="57"/>
      <c r="T25" s="80"/>
      <c r="U25" s="80"/>
      <c r="V25" s="51">
        <f t="shared" si="17"/>
        <v>3.6719999999999996E-2</v>
      </c>
    </row>
    <row r="26" spans="1:23" x14ac:dyDescent="0.2">
      <c r="B26" s="1" t="s">
        <v>45</v>
      </c>
      <c r="C26" s="57"/>
      <c r="D26" s="1" t="s">
        <v>12</v>
      </c>
      <c r="F26" s="45"/>
      <c r="G26" s="73">
        <f t="shared" si="12"/>
        <v>0</v>
      </c>
      <c r="H26" s="74">
        <f t="shared" si="13"/>
        <v>0</v>
      </c>
      <c r="I26" s="39">
        <v>0</v>
      </c>
      <c r="J26" s="49">
        <f t="shared" si="14"/>
        <v>0</v>
      </c>
      <c r="K26" s="80"/>
      <c r="L26" s="80"/>
      <c r="M26" s="80"/>
      <c r="N26" s="51">
        <f t="shared" si="15"/>
        <v>0</v>
      </c>
      <c r="O26" s="57"/>
      <c r="P26" s="80"/>
      <c r="Q26" s="80"/>
      <c r="R26" s="51">
        <f t="shared" si="16"/>
        <v>0</v>
      </c>
      <c r="S26" s="57"/>
      <c r="T26" s="80"/>
      <c r="U26" s="80"/>
      <c r="V26" s="51">
        <f t="shared" si="17"/>
        <v>0</v>
      </c>
    </row>
    <row r="27" spans="1:23" x14ac:dyDescent="0.2">
      <c r="B27" s="1" t="s">
        <v>46</v>
      </c>
      <c r="C27" s="57"/>
      <c r="F27" s="45"/>
      <c r="G27" s="73">
        <f t="shared" si="12"/>
        <v>0</v>
      </c>
      <c r="H27" s="74">
        <f t="shared" si="13"/>
        <v>0</v>
      </c>
      <c r="I27" s="39">
        <v>0</v>
      </c>
      <c r="J27" s="49">
        <f t="shared" si="14"/>
        <v>0</v>
      </c>
      <c r="K27" s="80"/>
      <c r="L27" s="80"/>
      <c r="M27" s="80"/>
      <c r="N27" s="51">
        <f t="shared" si="15"/>
        <v>0</v>
      </c>
      <c r="O27" s="57"/>
      <c r="P27" s="74"/>
      <c r="Q27" s="80"/>
      <c r="R27" s="51">
        <f t="shared" si="16"/>
        <v>0</v>
      </c>
      <c r="S27" s="57"/>
      <c r="T27" s="74"/>
      <c r="U27" s="80"/>
      <c r="V27" s="51">
        <f t="shared" si="17"/>
        <v>0</v>
      </c>
    </row>
    <row r="28" spans="1:23" x14ac:dyDescent="0.2">
      <c r="B28" s="1" t="s">
        <v>47</v>
      </c>
      <c r="C28" s="57"/>
      <c r="F28" s="45"/>
      <c r="G28" s="73">
        <f t="shared" si="12"/>
        <v>0</v>
      </c>
      <c r="H28" s="74">
        <f t="shared" si="13"/>
        <v>0</v>
      </c>
      <c r="I28" s="39">
        <v>0</v>
      </c>
      <c r="J28" s="49">
        <f t="shared" si="14"/>
        <v>0</v>
      </c>
      <c r="K28" s="80"/>
      <c r="L28" s="80"/>
      <c r="M28" s="80"/>
      <c r="N28" s="51">
        <f t="shared" si="15"/>
        <v>0</v>
      </c>
      <c r="O28" s="57"/>
      <c r="P28" s="117"/>
      <c r="Q28" s="80"/>
      <c r="R28" s="51">
        <f t="shared" si="16"/>
        <v>0</v>
      </c>
      <c r="S28" s="57"/>
      <c r="T28" s="117"/>
      <c r="U28" s="80"/>
      <c r="V28" s="51">
        <f t="shared" si="17"/>
        <v>0</v>
      </c>
    </row>
    <row r="29" spans="1:23" ht="13.5" thickBot="1" x14ac:dyDescent="0.25">
      <c r="B29" s="1" t="s">
        <v>48</v>
      </c>
      <c r="C29" s="57"/>
      <c r="F29" s="45"/>
      <c r="G29" s="73">
        <f t="shared" si="12"/>
        <v>0</v>
      </c>
      <c r="H29" s="74">
        <f t="shared" si="13"/>
        <v>0</v>
      </c>
      <c r="I29" s="40">
        <v>0</v>
      </c>
      <c r="J29" s="49">
        <f t="shared" si="14"/>
        <v>0</v>
      </c>
      <c r="K29" s="82"/>
      <c r="L29" s="82"/>
      <c r="M29" s="82"/>
      <c r="N29" s="51">
        <f t="shared" si="15"/>
        <v>0</v>
      </c>
      <c r="O29" s="57"/>
      <c r="P29" s="118"/>
      <c r="Q29" s="80"/>
      <c r="R29" s="51">
        <f t="shared" si="16"/>
        <v>0</v>
      </c>
      <c r="S29" s="57"/>
      <c r="T29" s="118"/>
      <c r="U29" s="80"/>
      <c r="V29" s="51">
        <f t="shared" si="17"/>
        <v>0</v>
      </c>
    </row>
    <row r="30" spans="1:23" x14ac:dyDescent="0.2">
      <c r="B30" s="5" t="s">
        <v>26</v>
      </c>
      <c r="C30" s="58"/>
      <c r="D30" s="5"/>
      <c r="E30" s="5"/>
      <c r="F30" s="46"/>
      <c r="G30" s="75">
        <f>SUM(G24:G29)</f>
        <v>1764705.882352941</v>
      </c>
      <c r="H30" s="76">
        <f>I8</f>
        <v>50000</v>
      </c>
      <c r="I30" s="77">
        <f>SUM(I24:I29)</f>
        <v>1</v>
      </c>
      <c r="J30" s="72">
        <f>SUM(J24:J29)</f>
        <v>0.15</v>
      </c>
      <c r="K30" s="80"/>
      <c r="L30" s="80"/>
      <c r="M30" s="80"/>
      <c r="N30" s="92">
        <f>SUM(N24:N29)</f>
        <v>0.1275</v>
      </c>
      <c r="O30" s="58"/>
      <c r="P30" s="95"/>
      <c r="Q30" s="82"/>
      <c r="R30" s="92">
        <f>SUM(R24:R29)</f>
        <v>0.10199999999999999</v>
      </c>
      <c r="S30" s="58"/>
      <c r="T30" s="95"/>
      <c r="U30" s="82"/>
      <c r="V30" s="92">
        <f>SUM(V24:V29)</f>
        <v>9.1799999999999993E-2</v>
      </c>
    </row>
    <row r="31" spans="1:23" x14ac:dyDescent="0.2">
      <c r="B31" s="1"/>
      <c r="C31" s="57"/>
      <c r="F31" s="45"/>
      <c r="G31" s="73"/>
      <c r="H31" s="78"/>
      <c r="I31" s="131" t="str">
        <f>IF(SUM(I24:I29)=1," ","Error≠100%")</f>
        <v xml:space="preserve"> </v>
      </c>
      <c r="J31" s="49"/>
      <c r="L31" s="10"/>
      <c r="N31" s="93"/>
      <c r="O31" s="57"/>
      <c r="P31" s="119"/>
      <c r="Q31" s="80"/>
      <c r="R31" s="93"/>
      <c r="S31" s="57"/>
      <c r="T31" s="119"/>
      <c r="U31" s="80"/>
      <c r="V31" s="93"/>
    </row>
    <row r="32" spans="1:23" ht="13.5" thickBot="1" x14ac:dyDescent="0.25">
      <c r="B32" s="41" t="s">
        <v>29</v>
      </c>
      <c r="C32" s="59"/>
      <c r="D32" s="44"/>
      <c r="E32" s="44"/>
      <c r="F32" s="47"/>
      <c r="G32" s="79"/>
      <c r="H32" s="79"/>
      <c r="I32" s="79"/>
      <c r="J32" s="47"/>
      <c r="K32" s="140" t="str">
        <f>B32</f>
        <v>C Round</v>
      </c>
      <c r="L32" s="141"/>
      <c r="M32" s="141"/>
      <c r="N32" s="142"/>
      <c r="O32" s="59"/>
      <c r="P32" s="120"/>
      <c r="Q32" s="79"/>
      <c r="R32" s="121"/>
      <c r="S32" s="59"/>
      <c r="T32" s="120"/>
      <c r="U32" s="79"/>
      <c r="V32" s="121"/>
    </row>
    <row r="33" spans="1:22" ht="12.75" hidden="1" customHeight="1" x14ac:dyDescent="0.2">
      <c r="B33" s="1" t="s">
        <v>43</v>
      </c>
      <c r="C33" s="57"/>
      <c r="F33" s="80"/>
      <c r="G33" s="80"/>
      <c r="H33" s="80"/>
      <c r="I33" s="80"/>
      <c r="J33" s="45"/>
      <c r="K33" s="57"/>
      <c r="L33" s="80"/>
      <c r="M33" s="80"/>
      <c r="N33" s="45"/>
      <c r="O33" s="57"/>
      <c r="P33" s="80"/>
      <c r="Q33" s="80"/>
      <c r="R33" s="93"/>
      <c r="S33" s="57"/>
      <c r="T33" s="80"/>
      <c r="U33" s="80"/>
      <c r="V33" s="93"/>
    </row>
    <row r="34" spans="1:22" hidden="1" x14ac:dyDescent="0.2">
      <c r="A34" s="6" t="s">
        <v>13</v>
      </c>
      <c r="B34" s="1" t="s">
        <v>44</v>
      </c>
      <c r="C34" s="57"/>
      <c r="F34" s="80"/>
      <c r="G34" s="80"/>
      <c r="H34" s="80"/>
      <c r="I34" s="80"/>
      <c r="J34" s="45"/>
      <c r="K34" s="57"/>
      <c r="L34" s="80"/>
      <c r="M34" s="80"/>
      <c r="N34" s="45"/>
      <c r="O34" s="57"/>
      <c r="P34" s="80"/>
      <c r="Q34" s="80"/>
      <c r="R34" s="93"/>
      <c r="S34" s="57"/>
      <c r="T34" s="80"/>
      <c r="U34" s="80"/>
      <c r="V34" s="93"/>
    </row>
    <row r="35" spans="1:22" hidden="1" x14ac:dyDescent="0.2">
      <c r="B35" s="1" t="s">
        <v>45</v>
      </c>
      <c r="C35" s="60"/>
      <c r="D35" s="2"/>
      <c r="F35" s="80"/>
      <c r="G35" s="80"/>
      <c r="H35" s="80"/>
      <c r="I35" s="80"/>
      <c r="J35" s="45"/>
      <c r="K35" s="57"/>
      <c r="L35" s="80"/>
      <c r="M35" s="80"/>
      <c r="N35" s="45"/>
      <c r="O35" s="57"/>
      <c r="P35" s="80"/>
      <c r="Q35" s="80"/>
      <c r="R35" s="93"/>
      <c r="S35" s="57"/>
      <c r="T35" s="80"/>
      <c r="U35" s="80"/>
      <c r="V35" s="93"/>
    </row>
    <row r="36" spans="1:22" hidden="1" x14ac:dyDescent="0.2">
      <c r="B36" s="1" t="s">
        <v>46</v>
      </c>
      <c r="C36" s="57"/>
      <c r="F36" s="143" t="s">
        <v>16</v>
      </c>
      <c r="G36" s="143"/>
      <c r="H36" s="80"/>
      <c r="I36" s="80"/>
      <c r="J36" s="45"/>
      <c r="K36" s="57"/>
      <c r="L36" s="80"/>
      <c r="M36" s="80"/>
      <c r="N36" s="45"/>
      <c r="O36" s="57"/>
      <c r="P36" s="80"/>
      <c r="Q36" s="80"/>
      <c r="R36" s="93"/>
      <c r="S36" s="57"/>
      <c r="T36" s="80"/>
      <c r="U36" s="80"/>
      <c r="V36" s="93"/>
    </row>
    <row r="37" spans="1:22" hidden="1" x14ac:dyDescent="0.2">
      <c r="A37" s="3">
        <v>0.85</v>
      </c>
      <c r="B37" s="1" t="s">
        <v>47</v>
      </c>
      <c r="C37" s="57"/>
      <c r="F37" s="81" t="s">
        <v>17</v>
      </c>
      <c r="G37" s="81" t="s">
        <v>18</v>
      </c>
      <c r="H37" s="80"/>
      <c r="I37" s="80"/>
      <c r="J37" s="45"/>
      <c r="K37" s="57"/>
      <c r="L37" s="80"/>
      <c r="M37" s="80"/>
      <c r="N37" s="45"/>
      <c r="O37" s="57"/>
      <c r="P37" s="80"/>
      <c r="Q37" s="80"/>
      <c r="R37" s="93"/>
      <c r="S37" s="57"/>
      <c r="T37" s="80"/>
      <c r="U37" s="80"/>
      <c r="V37" s="93"/>
    </row>
    <row r="38" spans="1:22" hidden="1" x14ac:dyDescent="0.2">
      <c r="A38" s="4">
        <f>10%/12</f>
        <v>8.3333333333333332E-3</v>
      </c>
      <c r="B38" s="1" t="s">
        <v>48</v>
      </c>
      <c r="C38" s="57" t="s">
        <v>0</v>
      </c>
      <c r="F38" s="80">
        <v>19800</v>
      </c>
      <c r="G38" s="80" t="e">
        <f>0.99*#REF!</f>
        <v>#REF!</v>
      </c>
      <c r="H38" s="80"/>
      <c r="I38" s="80"/>
      <c r="J38" s="45"/>
      <c r="K38" s="57"/>
      <c r="L38" s="80"/>
      <c r="M38" s="80"/>
      <c r="N38" s="45"/>
      <c r="O38" s="57"/>
      <c r="P38" s="80"/>
      <c r="Q38" s="80"/>
      <c r="R38" s="93"/>
      <c r="S38" s="57"/>
      <c r="T38" s="80"/>
      <c r="U38" s="80"/>
      <c r="V38" s="93"/>
    </row>
    <row r="39" spans="1:22" hidden="1" x14ac:dyDescent="0.2">
      <c r="A39" s="7" t="e">
        <f>9*A38*#REF!</f>
        <v>#REF!</v>
      </c>
      <c r="B39" s="1" t="s">
        <v>26</v>
      </c>
      <c r="C39" s="57" t="s">
        <v>15</v>
      </c>
      <c r="F39" s="80">
        <v>200</v>
      </c>
      <c r="G39" s="80" t="e">
        <f>0.01*#REF!</f>
        <v>#REF!</v>
      </c>
      <c r="H39" s="80"/>
      <c r="I39" s="80"/>
      <c r="J39" s="45"/>
      <c r="K39" s="57"/>
      <c r="L39" s="80"/>
      <c r="M39" s="80"/>
      <c r="N39" s="45"/>
      <c r="O39" s="57"/>
      <c r="P39" s="80"/>
      <c r="Q39" s="80"/>
      <c r="R39" s="93"/>
      <c r="S39" s="57"/>
      <c r="T39" s="80"/>
      <c r="U39" s="80"/>
      <c r="V39" s="93"/>
    </row>
    <row r="40" spans="1:22" hidden="1" x14ac:dyDescent="0.2">
      <c r="B40" s="1" t="s">
        <v>6</v>
      </c>
      <c r="C40" s="57"/>
      <c r="E40" t="s">
        <v>7</v>
      </c>
      <c r="F40" s="80">
        <f>SUM(F38:F39)</f>
        <v>20000</v>
      </c>
      <c r="G40" s="80" t="e">
        <f>SUM(G38:G39)</f>
        <v>#REF!</v>
      </c>
      <c r="H40" s="80"/>
      <c r="I40" s="80"/>
      <c r="J40" s="45"/>
      <c r="K40" s="57"/>
      <c r="L40" s="80"/>
      <c r="M40" s="80"/>
      <c r="N40" s="45"/>
      <c r="O40" s="57"/>
      <c r="P40" s="80"/>
      <c r="Q40" s="80"/>
      <c r="R40" s="93"/>
      <c r="S40" s="57"/>
      <c r="T40" s="80"/>
      <c r="U40" s="80"/>
      <c r="V40" s="93"/>
    </row>
    <row r="41" spans="1:22" hidden="1" x14ac:dyDescent="0.2">
      <c r="B41" s="1" t="s">
        <v>10</v>
      </c>
      <c r="C41" s="57"/>
      <c r="F41" s="80"/>
      <c r="G41" s="80"/>
      <c r="H41" s="80"/>
      <c r="I41" s="80"/>
      <c r="J41" s="45"/>
      <c r="K41" s="57"/>
      <c r="L41" s="80"/>
      <c r="M41" s="80"/>
      <c r="N41" s="45"/>
      <c r="O41" s="57"/>
      <c r="P41" s="80"/>
      <c r="Q41" s="80"/>
      <c r="R41" s="93"/>
      <c r="S41" s="57"/>
      <c r="T41" s="80"/>
      <c r="U41" s="80"/>
      <c r="V41" s="93"/>
    </row>
    <row r="42" spans="1:22" hidden="1" x14ac:dyDescent="0.2">
      <c r="B42" s="1"/>
      <c r="C42" s="57"/>
      <c r="F42" s="80"/>
      <c r="G42" s="80"/>
      <c r="H42" s="80"/>
      <c r="I42" s="80"/>
      <c r="J42" s="45"/>
      <c r="K42" s="57"/>
      <c r="L42" s="80"/>
      <c r="M42" s="80"/>
      <c r="N42" s="45"/>
      <c r="O42" s="57"/>
      <c r="P42" s="80"/>
      <c r="Q42" s="80"/>
      <c r="R42" s="93"/>
      <c r="S42" s="57"/>
      <c r="T42" s="80"/>
      <c r="U42" s="80"/>
      <c r="V42" s="93"/>
    </row>
    <row r="43" spans="1:22" hidden="1" x14ac:dyDescent="0.2">
      <c r="C43" s="57"/>
      <c r="F43" s="80"/>
      <c r="G43" s="80"/>
      <c r="H43" s="80"/>
      <c r="I43" s="80"/>
      <c r="J43" s="45"/>
      <c r="K43" s="57"/>
      <c r="L43" s="80"/>
      <c r="M43" s="80"/>
      <c r="N43" s="45"/>
      <c r="O43" s="57"/>
      <c r="P43" s="80"/>
      <c r="Q43" s="80"/>
      <c r="R43" s="93"/>
      <c r="S43" s="57"/>
      <c r="T43" s="80"/>
      <c r="U43" s="80"/>
      <c r="V43" s="93"/>
    </row>
    <row r="44" spans="1:22" ht="12.75" hidden="1" customHeight="1" x14ac:dyDescent="0.2">
      <c r="B44" s="6"/>
      <c r="C44" s="57"/>
      <c r="F44" s="80"/>
      <c r="G44" s="80"/>
      <c r="H44" s="80"/>
      <c r="I44" s="80"/>
      <c r="J44" s="45"/>
      <c r="K44" s="57"/>
      <c r="L44" s="80"/>
      <c r="M44" s="80"/>
      <c r="N44" s="45"/>
      <c r="O44" s="57"/>
      <c r="P44" s="80"/>
      <c r="Q44" s="80"/>
      <c r="R44" s="93"/>
      <c r="S44" s="57"/>
      <c r="T44" s="80"/>
      <c r="U44" s="80"/>
      <c r="V44" s="93"/>
    </row>
    <row r="45" spans="1:22" hidden="1" x14ac:dyDescent="0.2">
      <c r="A45" s="6" t="s">
        <v>14</v>
      </c>
      <c r="B45" t="s">
        <v>2</v>
      </c>
      <c r="C45" s="57"/>
      <c r="F45" s="80"/>
      <c r="G45" s="80"/>
      <c r="H45" s="80"/>
      <c r="I45" s="80"/>
      <c r="J45" s="45"/>
      <c r="K45" s="57"/>
      <c r="L45" s="80"/>
      <c r="M45" s="80"/>
      <c r="N45" s="45"/>
      <c r="O45" s="57"/>
      <c r="P45" s="80"/>
      <c r="Q45" s="80"/>
      <c r="R45" s="93"/>
      <c r="S45" s="57"/>
      <c r="T45" s="80"/>
      <c r="U45" s="80"/>
      <c r="V45" s="93"/>
    </row>
    <row r="46" spans="1:22" hidden="1" x14ac:dyDescent="0.2">
      <c r="B46" t="s">
        <v>3</v>
      </c>
      <c r="C46" s="57"/>
      <c r="F46" s="80"/>
      <c r="G46" s="80"/>
      <c r="H46" s="80"/>
      <c r="I46" s="80"/>
      <c r="J46" s="45"/>
      <c r="K46" s="57"/>
      <c r="L46" s="80"/>
      <c r="M46" s="80"/>
      <c r="N46" s="45"/>
      <c r="O46" s="57"/>
      <c r="P46" s="80"/>
      <c r="Q46" s="80"/>
      <c r="R46" s="93"/>
      <c r="S46" s="57"/>
      <c r="T46" s="80"/>
      <c r="U46" s="80"/>
      <c r="V46" s="93"/>
    </row>
    <row r="47" spans="1:22" hidden="1" x14ac:dyDescent="0.2">
      <c r="B47" t="s">
        <v>11</v>
      </c>
      <c r="C47" s="57"/>
      <c r="F47" s="80"/>
      <c r="G47" s="80"/>
      <c r="H47" s="80"/>
      <c r="I47" s="80"/>
      <c r="J47" s="45"/>
      <c r="K47" s="57"/>
      <c r="L47" s="80"/>
      <c r="M47" s="80"/>
      <c r="N47" s="45"/>
      <c r="O47" s="57"/>
      <c r="P47" s="80"/>
      <c r="Q47" s="80"/>
      <c r="R47" s="93"/>
      <c r="S47" s="57"/>
      <c r="T47" s="80"/>
      <c r="U47" s="80"/>
      <c r="V47" s="93"/>
    </row>
    <row r="48" spans="1:22" hidden="1" x14ac:dyDescent="0.2">
      <c r="A48" s="3">
        <v>0.85</v>
      </c>
      <c r="B48" t="s">
        <v>4</v>
      </c>
      <c r="C48" s="57"/>
      <c r="F48" s="80"/>
      <c r="G48" s="80"/>
      <c r="H48" s="80"/>
      <c r="I48" s="80"/>
      <c r="J48" s="45"/>
      <c r="K48" s="57"/>
      <c r="L48" s="80"/>
      <c r="M48" s="80"/>
      <c r="N48" s="45"/>
      <c r="O48" s="57"/>
      <c r="P48" s="80"/>
      <c r="Q48" s="80"/>
      <c r="R48" s="93"/>
      <c r="S48" s="57"/>
      <c r="T48" s="80"/>
      <c r="U48" s="80"/>
      <c r="V48" s="93"/>
    </row>
    <row r="49" spans="1:22" hidden="1" x14ac:dyDescent="0.2">
      <c r="A49" s="4">
        <f>A38</f>
        <v>8.3333333333333332E-3</v>
      </c>
      <c r="B49" t="s">
        <v>8</v>
      </c>
      <c r="C49" s="57"/>
      <c r="F49" s="80"/>
      <c r="G49" s="80"/>
      <c r="H49" s="80"/>
      <c r="I49" s="80"/>
      <c r="J49" s="45"/>
      <c r="K49" s="57"/>
      <c r="L49" s="80"/>
      <c r="M49" s="80"/>
      <c r="N49" s="45"/>
      <c r="O49" s="57"/>
      <c r="P49" s="80"/>
      <c r="Q49" s="80"/>
      <c r="R49" s="93"/>
      <c r="S49" s="57"/>
      <c r="T49" s="80"/>
      <c r="U49" s="80"/>
      <c r="V49" s="93"/>
    </row>
    <row r="50" spans="1:22" hidden="1" x14ac:dyDescent="0.2">
      <c r="A50" s="7" t="e">
        <f>A49*13*#REF!</f>
        <v>#REF!</v>
      </c>
      <c r="B50" t="s">
        <v>5</v>
      </c>
      <c r="C50" s="57"/>
      <c r="F50" s="80"/>
      <c r="G50" s="80"/>
      <c r="H50" s="80"/>
      <c r="I50" s="80"/>
      <c r="J50" s="45"/>
      <c r="K50" s="57"/>
      <c r="L50" s="80"/>
      <c r="M50" s="80"/>
      <c r="N50" s="45"/>
      <c r="O50" s="57"/>
      <c r="P50" s="80"/>
      <c r="Q50" s="80"/>
      <c r="R50" s="93"/>
      <c r="S50" s="57"/>
      <c r="T50" s="80"/>
      <c r="U50" s="80"/>
      <c r="V50" s="93"/>
    </row>
    <row r="51" spans="1:22" hidden="1" x14ac:dyDescent="0.2">
      <c r="B51" s="1" t="s">
        <v>6</v>
      </c>
      <c r="C51" s="57"/>
      <c r="F51" s="80"/>
      <c r="G51" s="80"/>
      <c r="H51" s="80"/>
      <c r="I51" s="80"/>
      <c r="J51" s="45"/>
      <c r="K51" s="57"/>
      <c r="L51" s="80"/>
      <c r="M51" s="80"/>
      <c r="N51" s="45"/>
      <c r="O51" s="57"/>
      <c r="P51" s="80"/>
      <c r="Q51" s="80"/>
      <c r="R51" s="93"/>
      <c r="S51" s="57"/>
      <c r="T51" s="80"/>
      <c r="U51" s="80"/>
      <c r="V51" s="93"/>
    </row>
    <row r="52" spans="1:22" hidden="1" x14ac:dyDescent="0.2">
      <c r="B52" s="1" t="s">
        <v>10</v>
      </c>
      <c r="C52" s="57"/>
      <c r="F52" s="80"/>
      <c r="G52" s="80"/>
      <c r="H52" s="80"/>
      <c r="I52" s="80"/>
      <c r="J52" s="45"/>
      <c r="K52" s="57"/>
      <c r="L52" s="80"/>
      <c r="M52" s="80"/>
      <c r="N52" s="45"/>
      <c r="O52" s="57"/>
      <c r="P52" s="80"/>
      <c r="Q52" s="80"/>
      <c r="R52" s="93"/>
      <c r="S52" s="57"/>
      <c r="T52" s="80"/>
      <c r="U52" s="80"/>
      <c r="V52" s="93"/>
    </row>
    <row r="53" spans="1:22" x14ac:dyDescent="0.2">
      <c r="B53" s="1" t="s">
        <v>49</v>
      </c>
      <c r="C53" s="57"/>
      <c r="F53" s="45"/>
      <c r="G53" s="80"/>
      <c r="H53" s="80"/>
      <c r="I53" s="80"/>
      <c r="J53" s="45"/>
      <c r="K53" s="94">
        <f t="shared" ref="K53:K58" si="18">L53/$M$9</f>
        <v>519031.14186851209</v>
      </c>
      <c r="L53" s="74">
        <f t="shared" ref="L53:L58" si="19">$M$8*M53</f>
        <v>250000</v>
      </c>
      <c r="M53" s="107">
        <v>0.25</v>
      </c>
      <c r="N53" s="51">
        <f t="shared" ref="N53:N58" si="20">K53/$K$78</f>
        <v>3.7499999999999999E-2</v>
      </c>
      <c r="O53" s="57"/>
      <c r="P53" s="80"/>
      <c r="Q53" s="80"/>
      <c r="R53" s="51">
        <f t="shared" ref="R53:R58" si="21">K53/$O$78</f>
        <v>3.0000000000000002E-2</v>
      </c>
      <c r="S53" s="57"/>
      <c r="T53" s="80"/>
      <c r="U53" s="80"/>
      <c r="V53" s="128">
        <f>K53/$S$78</f>
        <v>2.7E-2</v>
      </c>
    </row>
    <row r="54" spans="1:22" x14ac:dyDescent="0.2">
      <c r="B54" s="1" t="s">
        <v>50</v>
      </c>
      <c r="C54" s="57"/>
      <c r="F54" s="45"/>
      <c r="G54" s="80"/>
      <c r="I54" s="80"/>
      <c r="J54" s="45"/>
      <c r="K54" s="94">
        <f t="shared" si="18"/>
        <v>519031.14186851209</v>
      </c>
      <c r="L54" s="74">
        <f t="shared" si="19"/>
        <v>250000</v>
      </c>
      <c r="M54" s="39">
        <v>0.25</v>
      </c>
      <c r="N54" s="51">
        <f t="shared" si="20"/>
        <v>3.7499999999999999E-2</v>
      </c>
      <c r="O54" s="57"/>
      <c r="P54" s="80"/>
      <c r="Q54" s="80"/>
      <c r="R54" s="51">
        <f t="shared" si="21"/>
        <v>3.0000000000000002E-2</v>
      </c>
      <c r="S54" s="57"/>
      <c r="T54" s="80"/>
      <c r="U54" s="80"/>
      <c r="V54" s="128">
        <f>K54/$S$78</f>
        <v>2.7E-2</v>
      </c>
    </row>
    <row r="55" spans="1:22" x14ac:dyDescent="0.2">
      <c r="B55" s="1" t="s">
        <v>51</v>
      </c>
      <c r="C55" s="57"/>
      <c r="F55" s="45"/>
      <c r="G55" s="80"/>
      <c r="H55" s="80"/>
      <c r="I55" s="80"/>
      <c r="J55" s="45"/>
      <c r="K55" s="94">
        <f t="shared" si="18"/>
        <v>207612.45674740482</v>
      </c>
      <c r="L55" s="74">
        <f t="shared" si="19"/>
        <v>100000</v>
      </c>
      <c r="M55" s="39">
        <v>0.1</v>
      </c>
      <c r="N55" s="51">
        <f t="shared" si="20"/>
        <v>1.4999999999999999E-2</v>
      </c>
      <c r="O55" s="57"/>
      <c r="P55" s="80"/>
      <c r="Q55" s="80"/>
      <c r="R55" s="51">
        <f t="shared" si="21"/>
        <v>1.2E-2</v>
      </c>
      <c r="S55" s="57"/>
      <c r="T55" s="80"/>
      <c r="U55" s="80"/>
      <c r="V55" s="128">
        <f>K55/$S$78</f>
        <v>1.0799999999999999E-2</v>
      </c>
    </row>
    <row r="56" spans="1:22" x14ac:dyDescent="0.2">
      <c r="B56" s="1" t="s">
        <v>52</v>
      </c>
      <c r="C56" s="57"/>
      <c r="D56" s="11"/>
      <c r="F56" s="45"/>
      <c r="G56" s="80"/>
      <c r="H56" s="80"/>
      <c r="I56" s="80"/>
      <c r="J56" s="45"/>
      <c r="K56" s="94">
        <f t="shared" si="18"/>
        <v>207612.45674740482</v>
      </c>
      <c r="L56" s="74">
        <f t="shared" si="19"/>
        <v>100000</v>
      </c>
      <c r="M56" s="39">
        <v>0.1</v>
      </c>
      <c r="N56" s="51">
        <f t="shared" si="20"/>
        <v>1.4999999999999999E-2</v>
      </c>
      <c r="O56" s="57"/>
      <c r="P56" s="80"/>
      <c r="Q56" s="80"/>
      <c r="R56" s="51">
        <f t="shared" si="21"/>
        <v>1.2E-2</v>
      </c>
      <c r="S56" s="57"/>
      <c r="T56" s="80"/>
      <c r="U56" s="80"/>
      <c r="V56" s="128">
        <f>K56/$S$78</f>
        <v>1.0799999999999999E-2</v>
      </c>
    </row>
    <row r="57" spans="1:22" x14ac:dyDescent="0.2">
      <c r="B57" s="1" t="s">
        <v>53</v>
      </c>
      <c r="C57" s="57"/>
      <c r="D57" s="3"/>
      <c r="F57" s="45"/>
      <c r="G57" s="80"/>
      <c r="H57" s="80"/>
      <c r="I57" s="80"/>
      <c r="J57" s="45"/>
      <c r="K57" s="94">
        <f t="shared" si="18"/>
        <v>311418.68512110726</v>
      </c>
      <c r="L57" s="74">
        <f t="shared" si="19"/>
        <v>150000</v>
      </c>
      <c r="M57" s="39">
        <v>0.15</v>
      </c>
      <c r="N57" s="51">
        <f t="shared" si="20"/>
        <v>2.2499999999999999E-2</v>
      </c>
      <c r="O57" s="57"/>
      <c r="P57" s="80"/>
      <c r="Q57" s="80"/>
      <c r="R57" s="51">
        <f t="shared" si="21"/>
        <v>1.8000000000000002E-2</v>
      </c>
      <c r="S57" s="57"/>
      <c r="T57" s="80"/>
      <c r="U57" s="80"/>
      <c r="V57" s="128">
        <f>K57/$S$78</f>
        <v>1.6199999999999999E-2</v>
      </c>
    </row>
    <row r="58" spans="1:22" ht="13.5" thickBot="1" x14ac:dyDescent="0.25">
      <c r="B58" s="1" t="s">
        <v>54</v>
      </c>
      <c r="C58" s="57"/>
      <c r="D58" s="9"/>
      <c r="F58" s="45"/>
      <c r="G58" s="80"/>
      <c r="H58" s="80"/>
      <c r="I58" s="80"/>
      <c r="J58" s="45"/>
      <c r="K58" s="94">
        <f t="shared" si="18"/>
        <v>311418.68512110726</v>
      </c>
      <c r="L58" s="74">
        <f t="shared" si="19"/>
        <v>150000</v>
      </c>
      <c r="M58" s="40">
        <v>0.15</v>
      </c>
      <c r="N58" s="51">
        <f t="shared" si="20"/>
        <v>2.2499999999999999E-2</v>
      </c>
      <c r="O58" s="57"/>
      <c r="P58" s="80"/>
      <c r="Q58" s="80"/>
      <c r="R58" s="51">
        <f t="shared" si="21"/>
        <v>1.8000000000000002E-2</v>
      </c>
      <c r="S58" s="57"/>
      <c r="T58" s="80"/>
      <c r="U58" s="80"/>
      <c r="V58" s="128">
        <f>K58/$O$78</f>
        <v>1.8000000000000002E-2</v>
      </c>
    </row>
    <row r="59" spans="1:22" x14ac:dyDescent="0.2">
      <c r="B59" s="5" t="s">
        <v>30</v>
      </c>
      <c r="C59" s="58"/>
      <c r="D59" s="13"/>
      <c r="E59" s="5"/>
      <c r="F59" s="46"/>
      <c r="G59" s="82"/>
      <c r="H59" s="82"/>
      <c r="I59" s="82"/>
      <c r="J59" s="46"/>
      <c r="K59" s="94">
        <f>SUM(K53:K58)</f>
        <v>2076124.5674740486</v>
      </c>
      <c r="L59" s="95">
        <f>SUM(L53:L58)</f>
        <v>1000000</v>
      </c>
      <c r="M59" s="77">
        <f>SUM(M53:M58)</f>
        <v>1</v>
      </c>
      <c r="N59" s="72">
        <f>SUM(N53:N58)</f>
        <v>0.15</v>
      </c>
      <c r="O59" s="58"/>
      <c r="P59" s="82"/>
      <c r="Q59" s="82"/>
      <c r="R59" s="92">
        <f>SUM(R53:R58)</f>
        <v>0.12000000000000001</v>
      </c>
      <c r="S59" s="58"/>
      <c r="T59" s="82"/>
      <c r="U59" s="82"/>
      <c r="V59" s="92">
        <f>SUM(V53:V58)</f>
        <v>0.10979999999999999</v>
      </c>
    </row>
    <row r="60" spans="1:22" x14ac:dyDescent="0.2">
      <c r="B60" s="1" t="s">
        <v>12</v>
      </c>
      <c r="C60" s="57"/>
      <c r="D60" s="10"/>
      <c r="F60" s="45"/>
      <c r="G60" s="80"/>
      <c r="H60" s="80"/>
      <c r="I60" s="80"/>
      <c r="J60" s="45"/>
      <c r="K60" s="57"/>
      <c r="L60" s="96" t="s">
        <v>12</v>
      </c>
      <c r="M60" s="132" t="str">
        <f>IF(SUM(M53:M58)=1," ","Error≠100%")</f>
        <v xml:space="preserve"> </v>
      </c>
      <c r="N60" s="45"/>
      <c r="O60" s="57"/>
      <c r="P60" s="80"/>
      <c r="Q60" s="80"/>
      <c r="R60" s="93"/>
      <c r="S60" s="57"/>
      <c r="T60" s="80"/>
      <c r="U60" s="80"/>
      <c r="V60" s="93"/>
    </row>
    <row r="61" spans="1:22" ht="13.5" thickBot="1" x14ac:dyDescent="0.25">
      <c r="B61" s="41" t="s">
        <v>31</v>
      </c>
      <c r="C61" s="59"/>
      <c r="D61" s="44"/>
      <c r="E61" s="44"/>
      <c r="F61" s="47"/>
      <c r="G61" s="79"/>
      <c r="H61" s="79"/>
      <c r="I61" s="79"/>
      <c r="J61" s="47"/>
      <c r="K61" s="59"/>
      <c r="L61" s="79"/>
      <c r="M61" s="79"/>
      <c r="N61" s="47"/>
      <c r="O61" s="59"/>
      <c r="P61" s="79"/>
      <c r="Q61" s="79"/>
      <c r="R61" s="121"/>
      <c r="S61" s="59"/>
      <c r="T61" s="79"/>
      <c r="U61" s="79"/>
      <c r="V61" s="121"/>
    </row>
    <row r="62" spans="1:22" x14ac:dyDescent="0.2">
      <c r="B62" s="1" t="s">
        <v>55</v>
      </c>
      <c r="C62" s="57"/>
      <c r="D62" s="3"/>
      <c r="F62" s="45"/>
      <c r="J62" s="45"/>
      <c r="K62" s="57"/>
      <c r="L62" s="80"/>
      <c r="M62" s="80"/>
      <c r="N62" s="45"/>
      <c r="O62" s="55">
        <f t="shared" ref="O62:O67" si="22">P62/$Q$9</f>
        <v>3460207.6124567473</v>
      </c>
      <c r="P62" s="74">
        <f t="shared" ref="P62:P67" si="23">$Q$8*Q62</f>
        <v>10000000</v>
      </c>
      <c r="Q62" s="107">
        <v>1</v>
      </c>
      <c r="R62" s="51">
        <f t="shared" ref="R62:R67" si="24">O62/$O$78</f>
        <v>0.2</v>
      </c>
      <c r="S62" s="57"/>
      <c r="T62" s="80"/>
      <c r="U62" s="80"/>
      <c r="V62" s="128">
        <f t="shared" ref="V62:V67" si="25">O62/$S$78</f>
        <v>0.18</v>
      </c>
    </row>
    <row r="63" spans="1:22" x14ac:dyDescent="0.2">
      <c r="B63" s="1" t="s">
        <v>56</v>
      </c>
      <c r="C63" s="57"/>
      <c r="F63" s="45"/>
      <c r="J63" s="45"/>
      <c r="K63" s="57"/>
      <c r="L63" s="80"/>
      <c r="M63" s="80"/>
      <c r="N63" s="45"/>
      <c r="O63" s="55">
        <f t="shared" si="22"/>
        <v>0</v>
      </c>
      <c r="P63" s="74">
        <f t="shared" si="23"/>
        <v>0</v>
      </c>
      <c r="Q63" s="39">
        <v>0</v>
      </c>
      <c r="R63" s="51">
        <f t="shared" si="24"/>
        <v>0</v>
      </c>
      <c r="S63" s="57"/>
      <c r="T63" s="80"/>
      <c r="U63" s="80"/>
      <c r="V63" s="128">
        <f t="shared" si="25"/>
        <v>0</v>
      </c>
    </row>
    <row r="64" spans="1:22" x14ac:dyDescent="0.2">
      <c r="B64" s="1" t="s">
        <v>57</v>
      </c>
      <c r="C64" s="57"/>
      <c r="F64" s="45"/>
      <c r="I64" s="1" t="s">
        <v>12</v>
      </c>
      <c r="J64" s="45"/>
      <c r="K64" s="57"/>
      <c r="L64" s="80"/>
      <c r="M64" s="80"/>
      <c r="N64" s="45"/>
      <c r="O64" s="55">
        <f t="shared" si="22"/>
        <v>0</v>
      </c>
      <c r="P64" s="74">
        <f t="shared" si="23"/>
        <v>0</v>
      </c>
      <c r="Q64" s="39">
        <v>0</v>
      </c>
      <c r="R64" s="51">
        <f t="shared" si="24"/>
        <v>0</v>
      </c>
      <c r="S64" s="57"/>
      <c r="T64" s="80"/>
      <c r="U64" s="80"/>
      <c r="V64" s="128">
        <f t="shared" si="25"/>
        <v>0</v>
      </c>
    </row>
    <row r="65" spans="2:22" x14ac:dyDescent="0.2">
      <c r="B65" s="1" t="s">
        <v>58</v>
      </c>
      <c r="C65" s="57"/>
      <c r="F65" s="45"/>
      <c r="J65" s="45"/>
      <c r="K65" s="57"/>
      <c r="L65" s="80"/>
      <c r="M65" s="80"/>
      <c r="N65" s="45"/>
      <c r="O65" s="55">
        <f t="shared" si="22"/>
        <v>0</v>
      </c>
      <c r="P65" s="74">
        <f t="shared" si="23"/>
        <v>0</v>
      </c>
      <c r="Q65" s="39">
        <v>0</v>
      </c>
      <c r="R65" s="51">
        <f t="shared" si="24"/>
        <v>0</v>
      </c>
      <c r="S65" s="57"/>
      <c r="T65" s="80"/>
      <c r="U65" s="80"/>
      <c r="V65" s="128">
        <f t="shared" si="25"/>
        <v>0</v>
      </c>
    </row>
    <row r="66" spans="2:22" x14ac:dyDescent="0.2">
      <c r="B66" s="1" t="s">
        <v>59</v>
      </c>
      <c r="C66" s="61" t="s">
        <v>12</v>
      </c>
      <c r="D66" s="10"/>
      <c r="F66" s="45"/>
      <c r="J66" s="45"/>
      <c r="K66" s="57"/>
      <c r="L66" s="80"/>
      <c r="M66" s="80"/>
      <c r="N66" s="45"/>
      <c r="O66" s="55">
        <f t="shared" si="22"/>
        <v>0</v>
      </c>
      <c r="P66" s="74">
        <f t="shared" si="23"/>
        <v>0</v>
      </c>
      <c r="Q66" s="39">
        <v>0</v>
      </c>
      <c r="R66" s="51">
        <f t="shared" si="24"/>
        <v>0</v>
      </c>
      <c r="S66" s="57"/>
      <c r="T66" s="80"/>
      <c r="U66" s="80"/>
      <c r="V66" s="128">
        <f t="shared" si="25"/>
        <v>0</v>
      </c>
    </row>
    <row r="67" spans="2:22" ht="13.5" thickBot="1" x14ac:dyDescent="0.25">
      <c r="B67" s="1" t="s">
        <v>60</v>
      </c>
      <c r="C67" s="57"/>
      <c r="F67" s="45"/>
      <c r="J67" s="45"/>
      <c r="K67" s="57"/>
      <c r="L67" s="80"/>
      <c r="M67" s="80"/>
      <c r="N67" s="45"/>
      <c r="O67" s="55">
        <f t="shared" si="22"/>
        <v>0</v>
      </c>
      <c r="P67" s="74">
        <f t="shared" si="23"/>
        <v>0</v>
      </c>
      <c r="Q67" s="40">
        <v>0</v>
      </c>
      <c r="R67" s="51">
        <f t="shared" si="24"/>
        <v>0</v>
      </c>
      <c r="S67" s="57"/>
      <c r="T67" s="80"/>
      <c r="U67" s="80"/>
      <c r="V67" s="128">
        <f t="shared" si="25"/>
        <v>0</v>
      </c>
    </row>
    <row r="68" spans="2:22" x14ac:dyDescent="0.2">
      <c r="B68" s="5" t="s">
        <v>32</v>
      </c>
      <c r="C68" s="58"/>
      <c r="D68" s="5"/>
      <c r="E68" s="5"/>
      <c r="F68" s="46"/>
      <c r="G68" s="5"/>
      <c r="H68" s="5"/>
      <c r="I68" s="5"/>
      <c r="J68" s="46"/>
      <c r="K68" s="58"/>
      <c r="L68" s="82"/>
      <c r="M68" s="82"/>
      <c r="N68" s="46"/>
      <c r="O68" s="54">
        <f>SUM(O62:O67)</f>
        <v>3460207.6124567473</v>
      </c>
      <c r="P68" s="95">
        <f>SUM(P62:P67)</f>
        <v>10000000</v>
      </c>
      <c r="Q68" s="77">
        <f>SUM(Q62:Q67)</f>
        <v>1</v>
      </c>
      <c r="R68" s="50">
        <f>SUM(R62:R67)</f>
        <v>0.2</v>
      </c>
      <c r="S68" s="58"/>
      <c r="T68" s="82"/>
      <c r="U68" s="82"/>
      <c r="V68" s="50">
        <f>SUM(V62:V67)</f>
        <v>0.18</v>
      </c>
    </row>
    <row r="69" spans="2:22" x14ac:dyDescent="0.2">
      <c r="B69" s="1"/>
      <c r="C69" s="57"/>
      <c r="F69" s="45"/>
      <c r="J69" s="45"/>
      <c r="K69" s="57"/>
      <c r="L69" s="80"/>
      <c r="M69" s="80"/>
      <c r="N69" s="45"/>
      <c r="O69" s="122"/>
      <c r="P69" s="119"/>
      <c r="Q69" s="131" t="str">
        <f>IF(SUM(Q62:Q67)=1," ","Error≠100%")</f>
        <v xml:space="preserve"> </v>
      </c>
      <c r="R69" s="51"/>
      <c r="S69" s="57"/>
      <c r="T69" s="80"/>
      <c r="U69" s="80"/>
      <c r="V69" s="128"/>
    </row>
    <row r="70" spans="2:22" ht="13.5" thickBot="1" x14ac:dyDescent="0.25">
      <c r="B70" s="41" t="s">
        <v>33</v>
      </c>
      <c r="C70" s="59"/>
      <c r="D70" s="44"/>
      <c r="E70" s="44"/>
      <c r="F70" s="47"/>
      <c r="G70" s="44"/>
      <c r="H70" s="44"/>
      <c r="I70" s="44"/>
      <c r="J70" s="47"/>
      <c r="K70" s="59"/>
      <c r="L70" s="79"/>
      <c r="M70" s="79"/>
      <c r="N70" s="47"/>
      <c r="O70" s="59"/>
      <c r="P70" s="79"/>
      <c r="Q70" s="79"/>
      <c r="R70" s="47"/>
      <c r="S70" s="59"/>
      <c r="T70" s="79"/>
      <c r="U70" s="79"/>
      <c r="V70" s="47"/>
    </row>
    <row r="71" spans="2:22" x14ac:dyDescent="0.2">
      <c r="B71" s="1" t="s">
        <v>61</v>
      </c>
      <c r="C71" s="57"/>
      <c r="F71" s="45"/>
      <c r="J71" s="45"/>
      <c r="K71" s="57"/>
      <c r="L71" s="80"/>
      <c r="M71" s="80"/>
      <c r="N71" s="45"/>
      <c r="O71" s="57"/>
      <c r="P71" s="80"/>
      <c r="Q71" s="80"/>
      <c r="R71" s="45"/>
      <c r="S71" s="55">
        <f t="shared" ref="S71:S76" si="26">T71/$U$9</f>
        <v>1922337.5624759707</v>
      </c>
      <c r="T71" s="74">
        <f t="shared" ref="T71:T76" si="27">$U$8*U71</f>
        <v>40000000</v>
      </c>
      <c r="U71" s="107">
        <v>1</v>
      </c>
      <c r="V71" s="51">
        <f t="shared" ref="V71:V76" si="28">S71/$S$78</f>
        <v>9.9999999999999992E-2</v>
      </c>
    </row>
    <row r="72" spans="2:22" x14ac:dyDescent="0.2">
      <c r="B72" s="1" t="s">
        <v>62</v>
      </c>
      <c r="C72" s="57"/>
      <c r="F72" s="45"/>
      <c r="J72" s="45"/>
      <c r="K72" s="57"/>
      <c r="L72" s="80"/>
      <c r="M72" s="80"/>
      <c r="N72" s="45"/>
      <c r="O72" s="57"/>
      <c r="P72" s="80"/>
      <c r="Q72" s="80"/>
      <c r="R72" s="45"/>
      <c r="S72" s="55">
        <f t="shared" si="26"/>
        <v>0</v>
      </c>
      <c r="T72" s="74">
        <f t="shared" si="27"/>
        <v>0</v>
      </c>
      <c r="U72" s="39">
        <v>0</v>
      </c>
      <c r="V72" s="51">
        <f t="shared" si="28"/>
        <v>0</v>
      </c>
    </row>
    <row r="73" spans="2:22" x14ac:dyDescent="0.2">
      <c r="B73" s="1" t="s">
        <v>63</v>
      </c>
      <c r="C73" s="57"/>
      <c r="F73" s="45"/>
      <c r="J73" s="45"/>
      <c r="K73" s="57"/>
      <c r="L73" s="80"/>
      <c r="M73" s="80"/>
      <c r="N73" s="45"/>
      <c r="O73" s="57"/>
      <c r="P73" s="80"/>
      <c r="Q73" s="80"/>
      <c r="R73" s="45"/>
      <c r="S73" s="55">
        <f t="shared" si="26"/>
        <v>0</v>
      </c>
      <c r="T73" s="74">
        <f t="shared" si="27"/>
        <v>0</v>
      </c>
      <c r="U73" s="39">
        <v>0</v>
      </c>
      <c r="V73" s="51">
        <f t="shared" si="28"/>
        <v>0</v>
      </c>
    </row>
    <row r="74" spans="2:22" x14ac:dyDescent="0.2">
      <c r="B74" s="1" t="s">
        <v>64</v>
      </c>
      <c r="C74" s="57"/>
      <c r="F74" s="45"/>
      <c r="J74" s="45"/>
      <c r="K74" s="57"/>
      <c r="L74" s="80"/>
      <c r="M74" s="80"/>
      <c r="N74" s="45"/>
      <c r="O74" s="57"/>
      <c r="P74" s="80"/>
      <c r="Q74" s="80"/>
      <c r="R74" s="45"/>
      <c r="S74" s="55">
        <f t="shared" si="26"/>
        <v>0</v>
      </c>
      <c r="T74" s="74">
        <f t="shared" si="27"/>
        <v>0</v>
      </c>
      <c r="U74" s="39">
        <v>0</v>
      </c>
      <c r="V74" s="51">
        <f t="shared" si="28"/>
        <v>0</v>
      </c>
    </row>
    <row r="75" spans="2:22" x14ac:dyDescent="0.2">
      <c r="B75" s="1" t="s">
        <v>65</v>
      </c>
      <c r="C75" s="57"/>
      <c r="F75" s="45"/>
      <c r="J75" s="45"/>
      <c r="K75" s="57"/>
      <c r="L75" s="80"/>
      <c r="M75" s="80"/>
      <c r="N75" s="45"/>
      <c r="O75" s="57"/>
      <c r="P75" s="80"/>
      <c r="Q75" s="80"/>
      <c r="R75" s="45"/>
      <c r="S75" s="55">
        <f t="shared" si="26"/>
        <v>0</v>
      </c>
      <c r="T75" s="74">
        <f t="shared" si="27"/>
        <v>0</v>
      </c>
      <c r="U75" s="39">
        <v>0</v>
      </c>
      <c r="V75" s="51">
        <f t="shared" si="28"/>
        <v>0</v>
      </c>
    </row>
    <row r="76" spans="2:22" ht="13.5" thickBot="1" x14ac:dyDescent="0.25">
      <c r="B76" s="1" t="s">
        <v>66</v>
      </c>
      <c r="C76" s="57"/>
      <c r="F76" s="45"/>
      <c r="J76" s="45"/>
      <c r="K76" s="57"/>
      <c r="L76" s="80"/>
      <c r="M76" s="80"/>
      <c r="N76" s="45"/>
      <c r="O76" s="57"/>
      <c r="P76" s="80"/>
      <c r="Q76" s="80"/>
      <c r="R76" s="45"/>
      <c r="S76" s="55">
        <f t="shared" si="26"/>
        <v>0</v>
      </c>
      <c r="T76" s="74">
        <f t="shared" si="27"/>
        <v>0</v>
      </c>
      <c r="U76" s="40">
        <v>0</v>
      </c>
      <c r="V76" s="51">
        <f t="shared" si="28"/>
        <v>0</v>
      </c>
    </row>
    <row r="77" spans="2:22" x14ac:dyDescent="0.2">
      <c r="B77" s="5" t="s">
        <v>34</v>
      </c>
      <c r="C77" s="58"/>
      <c r="D77" s="5"/>
      <c r="E77" s="5"/>
      <c r="F77" s="46"/>
      <c r="G77" s="5"/>
      <c r="H77" s="5"/>
      <c r="I77" s="5"/>
      <c r="J77" s="46"/>
      <c r="K77" s="58"/>
      <c r="L77" s="82"/>
      <c r="M77" s="82"/>
      <c r="N77" s="46"/>
      <c r="O77" s="58"/>
      <c r="P77" s="82"/>
      <c r="Q77" s="82"/>
      <c r="R77" s="46"/>
      <c r="S77" s="54">
        <f>SUM(S71:S76)</f>
        <v>1922337.5624759707</v>
      </c>
      <c r="T77" s="95">
        <f>SUM(T71:T76)</f>
        <v>40000000</v>
      </c>
      <c r="U77" s="77">
        <f>SUM(U71:U76)</f>
        <v>1</v>
      </c>
      <c r="V77" s="50">
        <f>SUM(V71:V76)</f>
        <v>9.9999999999999992E-2</v>
      </c>
    </row>
    <row r="78" spans="2:22" x14ac:dyDescent="0.2">
      <c r="B78" s="5"/>
      <c r="C78" s="65">
        <f>C21</f>
        <v>10000000</v>
      </c>
      <c r="D78" s="66"/>
      <c r="E78" s="67">
        <f>E21</f>
        <v>1</v>
      </c>
      <c r="F78" s="68">
        <f>F21</f>
        <v>1</v>
      </c>
      <c r="G78" s="65">
        <f>G30+C21</f>
        <v>11764705.882352941</v>
      </c>
      <c r="H78" s="66"/>
      <c r="I78" s="83">
        <f>G30/G78</f>
        <v>0.15</v>
      </c>
      <c r="J78" s="84">
        <f>J21+J30</f>
        <v>1</v>
      </c>
      <c r="K78" s="65">
        <f>C21+G30+K59</f>
        <v>13840830.449826989</v>
      </c>
      <c r="L78" s="66"/>
      <c r="M78" s="66"/>
      <c r="N78" s="68">
        <f>N21+N30+N59</f>
        <v>1</v>
      </c>
      <c r="O78" s="65">
        <f>C21+G30+K59+O68</f>
        <v>17301038.062283736</v>
      </c>
      <c r="P78" s="66"/>
      <c r="Q78" s="66"/>
      <c r="R78" s="68">
        <f>R21+R30+R59+R68</f>
        <v>1.0000000000000002</v>
      </c>
      <c r="S78" s="65">
        <f>S77+O78</f>
        <v>19223375.624759708</v>
      </c>
      <c r="T78" s="66"/>
      <c r="U78" s="130" t="str">
        <f>IF(SUM(U71:U76)=1,"  ","Error≠100%")</f>
        <v xml:space="preserve">  </v>
      </c>
      <c r="V78" s="68">
        <f>V21+V30+V59+V68+V77</f>
        <v>1.0018</v>
      </c>
    </row>
    <row r="79" spans="2:22" x14ac:dyDescent="0.2">
      <c r="B79" s="6"/>
    </row>
    <row r="82" spans="2:2" x14ac:dyDescent="0.2">
      <c r="B82" s="1" t="s">
        <v>12</v>
      </c>
    </row>
  </sheetData>
  <mergeCells count="11">
    <mergeCell ref="B2:N2"/>
    <mergeCell ref="B3:N3"/>
    <mergeCell ref="B4:N4"/>
    <mergeCell ref="C6:F6"/>
    <mergeCell ref="G6:J6"/>
    <mergeCell ref="K6:N6"/>
    <mergeCell ref="O6:R6"/>
    <mergeCell ref="S6:V6"/>
    <mergeCell ref="G23:J23"/>
    <mergeCell ref="K32:N32"/>
    <mergeCell ref="F36:G36"/>
  </mergeCells>
  <phoneticPr fontId="2" type="noConversion"/>
  <pageMargins left="0.75" right="0.75" top="1" bottom="1" header="0.5" footer="0.5"/>
  <pageSetup scale="25" orientation="landscape" r:id="rId1"/>
  <headerFooter alignWithMargins="0">
    <oddHeader xml:space="preserve">&amp;C&amp;"Arial,Bold"
</oddHeader>
    <oddFooter>&amp;F</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A10" sqref="A10"/>
    </sheetView>
  </sheetViews>
  <sheetFormatPr defaultColWidth="8.85546875" defaultRowHeight="12.75" x14ac:dyDescent="0.2"/>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O82"/>
  <sheetViews>
    <sheetView tabSelected="1" topLeftCell="B19" workbookViewId="0">
      <selection activeCell="C24" sqref="C24"/>
    </sheetView>
  </sheetViews>
  <sheetFormatPr defaultColWidth="8.85546875" defaultRowHeight="12.75" x14ac:dyDescent="0.2"/>
  <cols>
    <col min="1" max="1" width="21.85546875" customWidth="1"/>
    <col min="2" max="2" width="23.42578125" customWidth="1"/>
    <col min="3" max="3" width="12.7109375" customWidth="1"/>
    <col min="4" max="4" width="10.7109375" customWidth="1"/>
    <col min="5" max="5" width="11.85546875" customWidth="1"/>
    <col min="6" max="6" width="11.7109375" customWidth="1"/>
    <col min="7" max="7" width="10.42578125" customWidth="1"/>
    <col min="8" max="8" width="10.28515625" customWidth="1"/>
    <col min="9" max="9" width="13.85546875" customWidth="1"/>
    <col min="10" max="10" width="11.7109375" customWidth="1"/>
    <col min="11" max="11" width="12.42578125" customWidth="1"/>
    <col min="12" max="12" width="11.7109375" customWidth="1"/>
    <col min="13" max="13" width="12.7109375" customWidth="1"/>
    <col min="14" max="14" width="10.28515625" customWidth="1"/>
    <col min="15" max="15" width="10.42578125" bestFit="1" customWidth="1"/>
    <col min="16" max="16" width="14.28515625" customWidth="1"/>
    <col min="17" max="17" width="13.28515625" customWidth="1"/>
    <col min="18" max="18" width="10.28515625" customWidth="1"/>
    <col min="19" max="19" width="10.7109375" customWidth="1"/>
    <col min="20" max="20" width="12.140625" customWidth="1"/>
    <col min="21" max="21" width="13.7109375" customWidth="1"/>
    <col min="22" max="22" width="10.28515625" customWidth="1"/>
  </cols>
  <sheetData>
    <row r="2" spans="1:93" ht="18" x14ac:dyDescent="0.25">
      <c r="B2" s="144" t="s">
        <v>41</v>
      </c>
      <c r="C2" s="145"/>
      <c r="D2" s="145"/>
      <c r="E2" s="145"/>
      <c r="F2" s="145"/>
      <c r="G2" s="145"/>
      <c r="H2" s="145"/>
      <c r="I2" s="145"/>
      <c r="J2" s="145"/>
      <c r="K2" s="145"/>
      <c r="L2" s="145"/>
      <c r="M2" s="145"/>
      <c r="N2" s="146"/>
    </row>
    <row r="3" spans="1:93" x14ac:dyDescent="0.2">
      <c r="B3" s="147" t="s">
        <v>42</v>
      </c>
      <c r="C3" s="148"/>
      <c r="D3" s="148"/>
      <c r="E3" s="148"/>
      <c r="F3" s="148"/>
      <c r="G3" s="148"/>
      <c r="H3" s="148"/>
      <c r="I3" s="148"/>
      <c r="J3" s="148"/>
      <c r="K3" s="148"/>
      <c r="L3" s="148"/>
      <c r="M3" s="148"/>
      <c r="N3" s="149"/>
    </row>
    <row r="4" spans="1:93" x14ac:dyDescent="0.2">
      <c r="B4" s="150" t="s">
        <v>69</v>
      </c>
      <c r="C4" s="151"/>
      <c r="D4" s="151"/>
      <c r="E4" s="151"/>
      <c r="F4" s="151"/>
      <c r="G4" s="151"/>
      <c r="H4" s="151"/>
      <c r="I4" s="151"/>
      <c r="J4" s="151"/>
      <c r="K4" s="151"/>
      <c r="L4" s="151"/>
      <c r="M4" s="151"/>
      <c r="N4" s="152"/>
    </row>
    <row r="5" spans="1:93" x14ac:dyDescent="0.2">
      <c r="B5" s="6"/>
      <c r="C5" s="6"/>
      <c r="D5" s="6"/>
      <c r="E5" s="6"/>
      <c r="F5" s="6"/>
    </row>
    <row r="6" spans="1:93" ht="13.5" thickBot="1" x14ac:dyDescent="0.25">
      <c r="A6" s="108" t="s">
        <v>21</v>
      </c>
      <c r="B6" s="135"/>
      <c r="C6" s="139" t="s">
        <v>36</v>
      </c>
      <c r="D6" s="139"/>
      <c r="E6" s="139"/>
      <c r="F6" s="139"/>
      <c r="G6" s="139" t="s">
        <v>37</v>
      </c>
      <c r="H6" s="139"/>
      <c r="I6" s="139"/>
      <c r="J6" s="139"/>
      <c r="K6" s="139" t="s">
        <v>38</v>
      </c>
      <c r="L6" s="139"/>
      <c r="M6" s="139"/>
      <c r="N6" s="139"/>
      <c r="O6" s="139" t="s">
        <v>39</v>
      </c>
      <c r="P6" s="139"/>
      <c r="Q6" s="139"/>
      <c r="R6" s="139"/>
      <c r="S6" s="139" t="s">
        <v>33</v>
      </c>
      <c r="T6" s="139"/>
      <c r="U6" s="139"/>
      <c r="V6" s="139"/>
    </row>
    <row r="7" spans="1:93" x14ac:dyDescent="0.2">
      <c r="A7" s="5"/>
      <c r="B7" s="6"/>
      <c r="D7" s="6" t="s">
        <v>12</v>
      </c>
      <c r="E7" s="34" t="s">
        <v>68</v>
      </c>
      <c r="F7" s="35" t="s">
        <v>28</v>
      </c>
      <c r="I7" s="34" t="s">
        <v>68</v>
      </c>
      <c r="J7" s="35" t="s">
        <v>28</v>
      </c>
      <c r="M7" s="34" t="s">
        <v>68</v>
      </c>
      <c r="N7" s="35" t="s">
        <v>28</v>
      </c>
      <c r="Q7" s="34" t="s">
        <v>68</v>
      </c>
      <c r="R7" s="35" t="s">
        <v>28</v>
      </c>
      <c r="U7" s="34" t="s">
        <v>68</v>
      </c>
      <c r="V7" s="35" t="s">
        <v>28</v>
      </c>
    </row>
    <row r="8" spans="1:93" ht="13.5" thickBot="1" x14ac:dyDescent="0.25">
      <c r="A8" s="5" t="s">
        <v>67</v>
      </c>
      <c r="B8" s="6"/>
      <c r="C8" s="6"/>
      <c r="D8" s="6"/>
      <c r="E8" s="37">
        <f>D21</f>
        <v>10000</v>
      </c>
      <c r="F8" s="38">
        <v>1</v>
      </c>
      <c r="I8" s="37">
        <v>50000</v>
      </c>
      <c r="J8" s="38">
        <v>0.15</v>
      </c>
      <c r="M8" s="37">
        <v>1000000</v>
      </c>
      <c r="N8" s="38">
        <v>0.15</v>
      </c>
      <c r="Q8" s="37">
        <v>10000000</v>
      </c>
      <c r="R8" s="38">
        <v>0.2</v>
      </c>
      <c r="U8" s="37">
        <v>40000000</v>
      </c>
      <c r="V8" s="38">
        <v>0.1</v>
      </c>
    </row>
    <row r="9" spans="1:93" s="25" customFormat="1" x14ac:dyDescent="0.2">
      <c r="A9" s="22" t="s">
        <v>70</v>
      </c>
      <c r="B9" s="23"/>
      <c r="C9" s="23"/>
      <c r="D9" s="23"/>
      <c r="E9" s="33">
        <v>1E-3</v>
      </c>
      <c r="F9" s="24"/>
      <c r="I9" s="26">
        <f>I10/C21</f>
        <v>2.8333333333333339E-2</v>
      </c>
      <c r="J9" s="24"/>
      <c r="M9" s="26">
        <f>M10/G78</f>
        <v>0.48166666666666669</v>
      </c>
      <c r="N9" s="24"/>
      <c r="Q9" s="26">
        <f>Q10/K78</f>
        <v>2.89</v>
      </c>
      <c r="R9" s="24"/>
      <c r="U9" s="26">
        <f>U10/O78</f>
        <v>20.808</v>
      </c>
      <c r="V9" s="129"/>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row>
    <row r="10" spans="1:93" s="20" customFormat="1" x14ac:dyDescent="0.2">
      <c r="A10" s="17" t="s">
        <v>20</v>
      </c>
      <c r="B10" s="18"/>
      <c r="C10" s="18"/>
      <c r="D10" s="18"/>
      <c r="E10" s="137" t="s">
        <v>75</v>
      </c>
      <c r="I10" s="21">
        <f>I11-I8</f>
        <v>283333.33333333337</v>
      </c>
      <c r="M10" s="21">
        <f>M11-M8</f>
        <v>5666666.666666667</v>
      </c>
      <c r="Q10" s="21">
        <f>Q11-Q8</f>
        <v>40000000</v>
      </c>
      <c r="U10" s="21">
        <f>U11-U8</f>
        <v>360000000</v>
      </c>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row>
    <row r="11" spans="1:93" s="32" customFormat="1" x14ac:dyDescent="0.2">
      <c r="A11" s="29" t="s">
        <v>22</v>
      </c>
      <c r="B11" s="30"/>
      <c r="C11" s="30"/>
      <c r="D11" s="30"/>
      <c r="E11" s="31">
        <f>E8/F8</f>
        <v>10000</v>
      </c>
      <c r="I11" s="31">
        <f>I8/J8</f>
        <v>333333.33333333337</v>
      </c>
      <c r="M11" s="31">
        <f>M8/N8</f>
        <v>6666666.666666667</v>
      </c>
      <c r="Q11" s="31">
        <f>Q8/R8</f>
        <v>50000000</v>
      </c>
      <c r="U11" s="31">
        <f>U8/V8</f>
        <v>400000000</v>
      </c>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row>
    <row r="12" spans="1:93" ht="13.5" thickBot="1" x14ac:dyDescent="0.25">
      <c r="B12" s="6"/>
      <c r="C12" s="6"/>
      <c r="D12" s="6"/>
      <c r="E12" s="6"/>
      <c r="F12" s="6"/>
    </row>
    <row r="13" spans="1:93" x14ac:dyDescent="0.2">
      <c r="B13" s="6" t="s">
        <v>1</v>
      </c>
      <c r="C13" s="62" t="s">
        <v>74</v>
      </c>
      <c r="D13" s="63" t="s">
        <v>27</v>
      </c>
      <c r="E13" s="138" t="s">
        <v>23</v>
      </c>
      <c r="F13" s="64" t="s">
        <v>28</v>
      </c>
      <c r="G13" s="62" t="s">
        <v>9</v>
      </c>
      <c r="H13" s="70" t="s">
        <v>27</v>
      </c>
      <c r="I13" s="70" t="s">
        <v>23</v>
      </c>
      <c r="J13" s="71" t="s">
        <v>28</v>
      </c>
      <c r="K13" s="62" t="s">
        <v>9</v>
      </c>
      <c r="L13" s="70" t="s">
        <v>27</v>
      </c>
      <c r="M13" s="70" t="s">
        <v>23</v>
      </c>
      <c r="N13" s="71" t="s">
        <v>28</v>
      </c>
      <c r="O13" s="62" t="s">
        <v>9</v>
      </c>
      <c r="P13" s="70" t="s">
        <v>27</v>
      </c>
      <c r="Q13" s="70" t="s">
        <v>23</v>
      </c>
      <c r="R13" s="71" t="s">
        <v>28</v>
      </c>
      <c r="S13" s="62" t="s">
        <v>9</v>
      </c>
      <c r="T13" s="70" t="s">
        <v>27</v>
      </c>
      <c r="U13" s="70" t="s">
        <v>23</v>
      </c>
      <c r="V13" s="71" t="s">
        <v>28</v>
      </c>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row>
    <row r="14" spans="1:93" s="20" customFormat="1" x14ac:dyDescent="0.2">
      <c r="A14" s="15"/>
      <c r="B14" s="134" t="s">
        <v>72</v>
      </c>
      <c r="C14" s="154">
        <v>3700000</v>
      </c>
      <c r="D14" s="155">
        <f>$E$9*C14</f>
        <v>3700</v>
      </c>
      <c r="E14" s="153">
        <f>C14/$C$21</f>
        <v>0.37</v>
      </c>
      <c r="F14" s="88">
        <f>E14</f>
        <v>0.37</v>
      </c>
      <c r="G14" s="85"/>
      <c r="H14" s="85"/>
      <c r="I14" s="85"/>
      <c r="J14" s="88">
        <f>C14/$G$78</f>
        <v>0.3145</v>
      </c>
      <c r="K14" s="85"/>
      <c r="L14" s="85"/>
      <c r="M14" s="85"/>
      <c r="N14" s="89">
        <f>C14/$K$78</f>
        <v>0.26732499999999998</v>
      </c>
      <c r="O14" s="111"/>
      <c r="P14" s="112"/>
      <c r="Q14" s="112"/>
      <c r="R14" s="89">
        <f>C14/$O$78</f>
        <v>0.21386000000000002</v>
      </c>
      <c r="S14" s="111"/>
      <c r="T14" s="112"/>
      <c r="U14" s="112"/>
      <c r="V14" s="123">
        <f>C14/$S$78</f>
        <v>0.19247400000000001</v>
      </c>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row>
    <row r="15" spans="1:93" s="25" customFormat="1" x14ac:dyDescent="0.2">
      <c r="A15" s="27"/>
      <c r="B15" s="100" t="s">
        <v>73</v>
      </c>
      <c r="C15" s="154">
        <v>3200000</v>
      </c>
      <c r="D15" s="155">
        <f t="shared" ref="D15:D20" si="0">$E$9*C15</f>
        <v>3200</v>
      </c>
      <c r="E15" s="153">
        <f t="shared" ref="E15:E20" si="1">C15/$C$21</f>
        <v>0.32</v>
      </c>
      <c r="F15" s="103">
        <f t="shared" ref="F15:F21" si="2">E15</f>
        <v>0.32</v>
      </c>
      <c r="G15" s="114"/>
      <c r="H15" s="114"/>
      <c r="I15" s="114"/>
      <c r="J15" s="103">
        <f>C15/$G$78</f>
        <v>0.27200000000000002</v>
      </c>
      <c r="K15" s="114"/>
      <c r="L15" s="114"/>
      <c r="M15" s="114"/>
      <c r="N15" s="104">
        <f>C15/$K$78</f>
        <v>0.23120000000000002</v>
      </c>
      <c r="O15" s="113"/>
      <c r="P15" s="114"/>
      <c r="Q15" s="114"/>
      <c r="R15" s="104">
        <f>C15/$O$78</f>
        <v>0.18496000000000001</v>
      </c>
      <c r="S15" s="113"/>
      <c r="T15" s="114"/>
      <c r="U15" s="114"/>
      <c r="V15" s="124">
        <f>C15/$S$78</f>
        <v>0.166464</v>
      </c>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row>
    <row r="16" spans="1:93" x14ac:dyDescent="0.2">
      <c r="B16" s="28" t="s">
        <v>71</v>
      </c>
      <c r="C16" s="154">
        <v>500000</v>
      </c>
      <c r="D16" s="155">
        <f t="shared" si="0"/>
        <v>500</v>
      </c>
      <c r="E16" s="153">
        <f t="shared" si="1"/>
        <v>0.05</v>
      </c>
      <c r="F16" s="48">
        <f t="shared" si="2"/>
        <v>0.05</v>
      </c>
      <c r="G16" s="80"/>
      <c r="H16" s="80"/>
      <c r="I16" s="80"/>
      <c r="J16" s="48">
        <f>C16/$G$78</f>
        <v>4.2500000000000003E-2</v>
      </c>
      <c r="K16" s="80"/>
      <c r="L16" s="80"/>
      <c r="M16" s="80"/>
      <c r="N16" s="90">
        <f>C16/$K$78</f>
        <v>3.6124999999999997E-2</v>
      </c>
      <c r="O16" s="115"/>
      <c r="P16" s="116"/>
      <c r="Q16" s="116"/>
      <c r="R16" s="90">
        <f>C16/$O$78</f>
        <v>2.8900000000000002E-2</v>
      </c>
      <c r="S16" s="115"/>
      <c r="T16" s="116"/>
      <c r="U16" s="116"/>
      <c r="V16" s="125">
        <f>C16/$S$78</f>
        <v>2.6010000000000002E-2</v>
      </c>
      <c r="W16" s="15"/>
    </row>
    <row r="17" spans="1:23" x14ac:dyDescent="0.2">
      <c r="B17" s="28" t="s">
        <v>40</v>
      </c>
      <c r="C17" s="154">
        <v>300000</v>
      </c>
      <c r="D17" s="155">
        <f t="shared" si="0"/>
        <v>300</v>
      </c>
      <c r="E17" s="153">
        <f t="shared" si="1"/>
        <v>0.03</v>
      </c>
      <c r="F17" s="48">
        <f t="shared" si="2"/>
        <v>0.03</v>
      </c>
      <c r="G17" s="80"/>
      <c r="H17" s="80"/>
      <c r="I17" s="80"/>
      <c r="J17" s="48">
        <f>C17/$G$78</f>
        <v>2.5500000000000002E-2</v>
      </c>
      <c r="K17" s="80"/>
      <c r="L17" s="80"/>
      <c r="M17" s="80"/>
      <c r="N17" s="90">
        <f>C17/$K$78</f>
        <v>2.1675E-2</v>
      </c>
      <c r="O17" s="115"/>
      <c r="P17" s="116"/>
      <c r="Q17" s="116"/>
      <c r="R17" s="90">
        <f>C17/$O$78</f>
        <v>1.7340000000000001E-2</v>
      </c>
      <c r="S17" s="115"/>
      <c r="T17" s="116"/>
      <c r="U17" s="116"/>
      <c r="V17" s="125">
        <f>C17/$S$78</f>
        <v>1.5606E-2</v>
      </c>
      <c r="W17" s="15"/>
    </row>
    <row r="18" spans="1:23" x14ac:dyDescent="0.2">
      <c r="B18" s="28" t="s">
        <v>40</v>
      </c>
      <c r="C18" s="154">
        <v>100000</v>
      </c>
      <c r="D18" s="155">
        <f t="shared" si="0"/>
        <v>100</v>
      </c>
      <c r="E18" s="153">
        <f t="shared" si="1"/>
        <v>0.01</v>
      </c>
      <c r="F18" s="48">
        <f t="shared" si="2"/>
        <v>0.01</v>
      </c>
      <c r="G18" s="80"/>
      <c r="H18" s="80"/>
      <c r="I18" s="80"/>
      <c r="J18" s="48">
        <f t="shared" ref="J18" si="3">C18/$G$78</f>
        <v>8.5000000000000006E-3</v>
      </c>
      <c r="K18" s="80"/>
      <c r="L18" s="80"/>
      <c r="M18" s="80"/>
      <c r="N18" s="90">
        <f t="shared" ref="N18" si="4">C18/$K$78</f>
        <v>7.2250000000000005E-3</v>
      </c>
      <c r="O18" s="115"/>
      <c r="P18" s="116"/>
      <c r="Q18" s="116"/>
      <c r="R18" s="90">
        <f t="shared" ref="R18" si="5">C18/$O$78</f>
        <v>5.7800000000000004E-3</v>
      </c>
      <c r="S18" s="115"/>
      <c r="T18" s="116"/>
      <c r="U18" s="116"/>
      <c r="V18" s="125">
        <f t="shared" ref="V18" si="6">C18/$S$78</f>
        <v>5.202E-3</v>
      </c>
      <c r="W18" s="15"/>
    </row>
    <row r="19" spans="1:23" x14ac:dyDescent="0.2">
      <c r="B19" s="1" t="s">
        <v>35</v>
      </c>
      <c r="C19" s="154">
        <v>200000</v>
      </c>
      <c r="D19" s="155">
        <f t="shared" si="0"/>
        <v>200</v>
      </c>
      <c r="E19" s="153">
        <f t="shared" si="1"/>
        <v>0.02</v>
      </c>
      <c r="F19" s="49">
        <f t="shared" si="2"/>
        <v>0.02</v>
      </c>
      <c r="G19" s="82"/>
      <c r="H19" s="82"/>
      <c r="I19" s="82"/>
      <c r="J19" s="49">
        <f>C19/$G$78</f>
        <v>1.7000000000000001E-2</v>
      </c>
      <c r="K19" s="82"/>
      <c r="L19" s="82"/>
      <c r="M19" s="82"/>
      <c r="N19" s="51">
        <f>C19/$K$78</f>
        <v>1.4450000000000001E-2</v>
      </c>
      <c r="O19" s="57"/>
      <c r="P19" s="80"/>
      <c r="Q19" s="80"/>
      <c r="R19" s="51">
        <f>C19/$O$78</f>
        <v>1.1560000000000001E-2</v>
      </c>
      <c r="S19" s="57"/>
      <c r="T19" s="80"/>
      <c r="U19" s="80"/>
      <c r="V19" s="126">
        <f>C19/$S$78</f>
        <v>1.0404E-2</v>
      </c>
    </row>
    <row r="20" spans="1:23" x14ac:dyDescent="0.2">
      <c r="B20" s="1" t="s">
        <v>19</v>
      </c>
      <c r="C20" s="154">
        <v>2000000</v>
      </c>
      <c r="D20" s="155">
        <f t="shared" si="0"/>
        <v>2000</v>
      </c>
      <c r="E20" s="153">
        <f t="shared" si="1"/>
        <v>0.2</v>
      </c>
      <c r="F20" s="49">
        <f t="shared" si="2"/>
        <v>0.2</v>
      </c>
      <c r="G20" s="80"/>
      <c r="H20" s="80"/>
      <c r="I20" s="80"/>
      <c r="J20" s="49">
        <f>C20/$G$78</f>
        <v>0.17</v>
      </c>
      <c r="K20" s="80"/>
      <c r="L20" s="80"/>
      <c r="M20" s="80"/>
      <c r="N20" s="51">
        <f>C20/$K$78</f>
        <v>0.14449999999999999</v>
      </c>
      <c r="O20" s="57"/>
      <c r="P20" s="80"/>
      <c r="Q20" s="80"/>
      <c r="R20" s="51">
        <f>C20/$O$78</f>
        <v>0.11560000000000001</v>
      </c>
      <c r="S20" s="57"/>
      <c r="T20" s="80"/>
      <c r="U20" s="80"/>
      <c r="V20" s="126">
        <f>C20/$S$78</f>
        <v>0.10404000000000001</v>
      </c>
    </row>
    <row r="21" spans="1:23" s="5" customFormat="1" x14ac:dyDescent="0.2">
      <c r="B21" s="5" t="s">
        <v>25</v>
      </c>
      <c r="C21" s="55">
        <f>SUM(C14:C20)</f>
        <v>10000000</v>
      </c>
      <c r="D21" s="74">
        <f>SUM(D14:D20)</f>
        <v>10000</v>
      </c>
      <c r="E21" s="153">
        <f>SUM(E14:E20)</f>
        <v>1</v>
      </c>
      <c r="F21" s="50">
        <f t="shared" si="2"/>
        <v>1</v>
      </c>
      <c r="J21" s="72">
        <f>SUM(J14:J20)</f>
        <v>0.85</v>
      </c>
      <c r="K21" s="99"/>
      <c r="L21" s="97"/>
      <c r="M21" s="98"/>
      <c r="N21" s="50">
        <f>C21/$K$78</f>
        <v>0.72250000000000003</v>
      </c>
      <c r="O21" s="58"/>
      <c r="P21" s="82"/>
      <c r="Q21" s="82"/>
      <c r="R21" s="50">
        <f>SUM(R14:R20)</f>
        <v>0.57800000000000007</v>
      </c>
      <c r="S21" s="58"/>
      <c r="T21" s="82"/>
      <c r="U21" s="82"/>
      <c r="V21" s="127">
        <f>C21/$S$78</f>
        <v>0.5202</v>
      </c>
    </row>
    <row r="22" spans="1:23" x14ac:dyDescent="0.2">
      <c r="E22" s="110" t="s">
        <v>12</v>
      </c>
      <c r="F22" s="51" t="s">
        <v>12</v>
      </c>
      <c r="J22" s="49"/>
      <c r="K22" s="99"/>
      <c r="L22" s="97"/>
      <c r="M22" s="98"/>
      <c r="N22" s="49"/>
      <c r="O22" s="57"/>
      <c r="P22" s="80"/>
      <c r="Q22" s="80"/>
      <c r="R22" s="51"/>
      <c r="S22" s="57"/>
      <c r="T22" s="80"/>
      <c r="U22" s="80"/>
      <c r="V22" s="51"/>
    </row>
    <row r="23" spans="1:23" ht="13.5" thickBot="1" x14ac:dyDescent="0.25">
      <c r="B23" s="41" t="s">
        <v>24</v>
      </c>
      <c r="C23" s="56"/>
      <c r="D23" s="42"/>
      <c r="E23" s="43"/>
      <c r="F23" s="52"/>
      <c r="G23" s="140" t="str">
        <f>B23</f>
        <v>B Round</v>
      </c>
      <c r="H23" s="141"/>
      <c r="I23" s="141"/>
      <c r="J23" s="142"/>
      <c r="K23" s="105"/>
      <c r="L23" s="106"/>
      <c r="M23" s="69"/>
      <c r="N23" s="91"/>
      <c r="O23" s="59"/>
      <c r="P23" s="79"/>
      <c r="Q23" s="79"/>
      <c r="R23" s="52"/>
      <c r="S23" s="59"/>
      <c r="T23" s="79"/>
      <c r="U23" s="79"/>
      <c r="V23" s="52"/>
    </row>
    <row r="24" spans="1:23" x14ac:dyDescent="0.2">
      <c r="A24" s="1" t="s">
        <v>12</v>
      </c>
      <c r="B24" s="1" t="s">
        <v>43</v>
      </c>
      <c r="C24" s="57"/>
      <c r="F24" s="45"/>
      <c r="G24" s="73">
        <f t="shared" ref="G24:G29" si="7">H24/$I$9</f>
        <v>1058823.5294117646</v>
      </c>
      <c r="H24" s="74">
        <f t="shared" ref="H24:H29" si="8">$H$30*I24</f>
        <v>30000</v>
      </c>
      <c r="I24" s="107">
        <v>0.6</v>
      </c>
      <c r="J24" s="49">
        <f t="shared" ref="J24:J29" si="9">G24/$G$78</f>
        <v>0.09</v>
      </c>
      <c r="N24" s="51">
        <f t="shared" ref="N24:N29" si="10">G24/$K$78</f>
        <v>7.6499999999999999E-2</v>
      </c>
      <c r="O24" s="57"/>
      <c r="P24" s="80"/>
      <c r="Q24" s="80"/>
      <c r="R24" s="51">
        <f t="shared" ref="R24:R29" si="11">G24/$O$78</f>
        <v>6.1199999999999997E-2</v>
      </c>
      <c r="S24" s="57"/>
      <c r="T24" s="80"/>
      <c r="U24" s="80"/>
      <c r="V24" s="51">
        <f t="shared" ref="V24:V29" si="12">G24/$S$78</f>
        <v>5.5079999999999997E-2</v>
      </c>
    </row>
    <row r="25" spans="1:23" x14ac:dyDescent="0.2">
      <c r="B25" s="1" t="s">
        <v>44</v>
      </c>
      <c r="C25" s="57"/>
      <c r="F25" s="45"/>
      <c r="G25" s="73">
        <f t="shared" si="7"/>
        <v>705882.35294117639</v>
      </c>
      <c r="H25" s="74">
        <f t="shared" si="8"/>
        <v>20000</v>
      </c>
      <c r="I25" s="39">
        <v>0.4</v>
      </c>
      <c r="J25" s="49">
        <f t="shared" si="9"/>
        <v>0.06</v>
      </c>
      <c r="K25" s="80"/>
      <c r="L25" s="80"/>
      <c r="M25" s="80"/>
      <c r="N25" s="51">
        <f t="shared" si="10"/>
        <v>5.0999999999999997E-2</v>
      </c>
      <c r="O25" s="57"/>
      <c r="P25" s="80"/>
      <c r="Q25" s="80"/>
      <c r="R25" s="51">
        <f t="shared" si="11"/>
        <v>4.0799999999999996E-2</v>
      </c>
      <c r="S25" s="57"/>
      <c r="T25" s="80"/>
      <c r="U25" s="80"/>
      <c r="V25" s="51">
        <f t="shared" si="12"/>
        <v>3.6719999999999996E-2</v>
      </c>
    </row>
    <row r="26" spans="1:23" x14ac:dyDescent="0.2">
      <c r="B26" s="1" t="s">
        <v>45</v>
      </c>
      <c r="C26" s="57"/>
      <c r="D26" s="1" t="s">
        <v>12</v>
      </c>
      <c r="F26" s="45"/>
      <c r="G26" s="73">
        <f t="shared" si="7"/>
        <v>0</v>
      </c>
      <c r="H26" s="74">
        <f t="shared" si="8"/>
        <v>0</v>
      </c>
      <c r="I26" s="39">
        <v>0</v>
      </c>
      <c r="J26" s="49">
        <f t="shared" si="9"/>
        <v>0</v>
      </c>
      <c r="K26" s="80"/>
      <c r="L26" s="80"/>
      <c r="M26" s="80"/>
      <c r="N26" s="51">
        <f t="shared" si="10"/>
        <v>0</v>
      </c>
      <c r="O26" s="57"/>
      <c r="P26" s="80"/>
      <c r="Q26" s="80"/>
      <c r="R26" s="51">
        <f t="shared" si="11"/>
        <v>0</v>
      </c>
      <c r="S26" s="57"/>
      <c r="T26" s="80"/>
      <c r="U26" s="80"/>
      <c r="V26" s="51">
        <f t="shared" si="12"/>
        <v>0</v>
      </c>
    </row>
    <row r="27" spans="1:23" x14ac:dyDescent="0.2">
      <c r="B27" s="1" t="s">
        <v>46</v>
      </c>
      <c r="C27" s="57"/>
      <c r="F27" s="45"/>
      <c r="G27" s="73">
        <f t="shared" si="7"/>
        <v>0</v>
      </c>
      <c r="H27" s="74">
        <f t="shared" si="8"/>
        <v>0</v>
      </c>
      <c r="I27" s="39">
        <v>0</v>
      </c>
      <c r="J27" s="49">
        <f t="shared" si="9"/>
        <v>0</v>
      </c>
      <c r="K27" s="80"/>
      <c r="L27" s="80"/>
      <c r="M27" s="80"/>
      <c r="N27" s="51">
        <f t="shared" si="10"/>
        <v>0</v>
      </c>
      <c r="O27" s="57"/>
      <c r="P27" s="74"/>
      <c r="Q27" s="80"/>
      <c r="R27" s="51">
        <f t="shared" si="11"/>
        <v>0</v>
      </c>
      <c r="S27" s="57"/>
      <c r="T27" s="74"/>
      <c r="U27" s="80"/>
      <c r="V27" s="51">
        <f t="shared" si="12"/>
        <v>0</v>
      </c>
    </row>
    <row r="28" spans="1:23" x14ac:dyDescent="0.2">
      <c r="B28" s="1" t="s">
        <v>47</v>
      </c>
      <c r="C28" s="57"/>
      <c r="F28" s="45"/>
      <c r="G28" s="73">
        <f t="shared" si="7"/>
        <v>0</v>
      </c>
      <c r="H28" s="74">
        <f t="shared" si="8"/>
        <v>0</v>
      </c>
      <c r="I28" s="39">
        <v>0</v>
      </c>
      <c r="J28" s="49">
        <f t="shared" si="9"/>
        <v>0</v>
      </c>
      <c r="K28" s="80"/>
      <c r="L28" s="80"/>
      <c r="M28" s="80"/>
      <c r="N28" s="51">
        <f t="shared" si="10"/>
        <v>0</v>
      </c>
      <c r="O28" s="57"/>
      <c r="P28" s="117"/>
      <c r="Q28" s="80"/>
      <c r="R28" s="51">
        <f t="shared" si="11"/>
        <v>0</v>
      </c>
      <c r="S28" s="57"/>
      <c r="T28" s="117"/>
      <c r="U28" s="80"/>
      <c r="V28" s="51">
        <f t="shared" si="12"/>
        <v>0</v>
      </c>
    </row>
    <row r="29" spans="1:23" ht="13.5" thickBot="1" x14ac:dyDescent="0.25">
      <c r="B29" s="1" t="s">
        <v>48</v>
      </c>
      <c r="C29" s="57"/>
      <c r="F29" s="45"/>
      <c r="G29" s="73">
        <f t="shared" si="7"/>
        <v>0</v>
      </c>
      <c r="H29" s="74">
        <f t="shared" si="8"/>
        <v>0</v>
      </c>
      <c r="I29" s="40">
        <v>0</v>
      </c>
      <c r="J29" s="49">
        <f t="shared" si="9"/>
        <v>0</v>
      </c>
      <c r="K29" s="82"/>
      <c r="L29" s="82"/>
      <c r="M29" s="82"/>
      <c r="N29" s="51">
        <f t="shared" si="10"/>
        <v>0</v>
      </c>
      <c r="O29" s="57"/>
      <c r="P29" s="118"/>
      <c r="Q29" s="80"/>
      <c r="R29" s="51">
        <f t="shared" si="11"/>
        <v>0</v>
      </c>
      <c r="S29" s="57"/>
      <c r="T29" s="118"/>
      <c r="U29" s="80"/>
      <c r="V29" s="51">
        <f t="shared" si="12"/>
        <v>0</v>
      </c>
    </row>
    <row r="30" spans="1:23" x14ac:dyDescent="0.2">
      <c r="B30" s="5" t="s">
        <v>26</v>
      </c>
      <c r="C30" s="58"/>
      <c r="D30" s="5"/>
      <c r="E30" s="5"/>
      <c r="F30" s="46"/>
      <c r="G30" s="75">
        <f>SUM(G24:G29)</f>
        <v>1764705.882352941</v>
      </c>
      <c r="H30" s="76">
        <f>I8</f>
        <v>50000</v>
      </c>
      <c r="I30" s="77">
        <f>SUM(I24:I29)</f>
        <v>1</v>
      </c>
      <c r="J30" s="72">
        <f>SUM(J24:J29)</f>
        <v>0.15</v>
      </c>
      <c r="K30" s="80"/>
      <c r="L30" s="80"/>
      <c r="M30" s="80"/>
      <c r="N30" s="92">
        <f>SUM(N24:N29)</f>
        <v>0.1275</v>
      </c>
      <c r="O30" s="58"/>
      <c r="P30" s="95"/>
      <c r="Q30" s="82"/>
      <c r="R30" s="92">
        <f>SUM(R24:R29)</f>
        <v>0.10199999999999999</v>
      </c>
      <c r="S30" s="58"/>
      <c r="T30" s="95"/>
      <c r="U30" s="82"/>
      <c r="V30" s="92">
        <f>SUM(V24:V29)</f>
        <v>9.1799999999999993E-2</v>
      </c>
    </row>
    <row r="31" spans="1:23" x14ac:dyDescent="0.2">
      <c r="B31" s="1"/>
      <c r="C31" s="57"/>
      <c r="F31" s="45"/>
      <c r="G31" s="73"/>
      <c r="H31" s="78"/>
      <c r="I31" s="131" t="str">
        <f>IF(SUM(I24:I29)=1," ","Error≠100%")</f>
        <v xml:space="preserve"> </v>
      </c>
      <c r="J31" s="49"/>
      <c r="L31" s="10"/>
      <c r="N31" s="93"/>
      <c r="O31" s="57"/>
      <c r="P31" s="119"/>
      <c r="Q31" s="80"/>
      <c r="R31" s="93"/>
      <c r="S31" s="57"/>
      <c r="T31" s="119"/>
      <c r="U31" s="80"/>
      <c r="V31" s="93"/>
    </row>
    <row r="32" spans="1:23" ht="13.5" thickBot="1" x14ac:dyDescent="0.25">
      <c r="B32" s="41" t="s">
        <v>29</v>
      </c>
      <c r="C32" s="59"/>
      <c r="D32" s="44"/>
      <c r="E32" s="44"/>
      <c r="F32" s="47"/>
      <c r="G32" s="79"/>
      <c r="H32" s="79"/>
      <c r="I32" s="79"/>
      <c r="J32" s="47"/>
      <c r="K32" s="140" t="str">
        <f>B32</f>
        <v>C Round</v>
      </c>
      <c r="L32" s="141"/>
      <c r="M32" s="141"/>
      <c r="N32" s="142"/>
      <c r="O32" s="59"/>
      <c r="P32" s="120"/>
      <c r="Q32" s="79"/>
      <c r="R32" s="121"/>
      <c r="S32" s="59"/>
      <c r="T32" s="120"/>
      <c r="U32" s="79"/>
      <c r="V32" s="121"/>
    </row>
    <row r="33" spans="1:22" ht="12.75" hidden="1" customHeight="1" x14ac:dyDescent="0.2">
      <c r="B33" s="1" t="s">
        <v>43</v>
      </c>
      <c r="C33" s="57"/>
      <c r="F33" s="80"/>
      <c r="G33" s="80"/>
      <c r="H33" s="80"/>
      <c r="I33" s="80"/>
      <c r="J33" s="45"/>
      <c r="K33" s="57"/>
      <c r="L33" s="80"/>
      <c r="M33" s="80"/>
      <c r="N33" s="45"/>
      <c r="O33" s="57"/>
      <c r="P33" s="80"/>
      <c r="Q33" s="80"/>
      <c r="R33" s="93"/>
      <c r="S33" s="57"/>
      <c r="T33" s="80"/>
      <c r="U33" s="80"/>
      <c r="V33" s="93"/>
    </row>
    <row r="34" spans="1:22" ht="13.5" hidden="1" thickBot="1" x14ac:dyDescent="0.25">
      <c r="A34" s="6" t="s">
        <v>13</v>
      </c>
      <c r="B34" s="1" t="s">
        <v>44</v>
      </c>
      <c r="C34" s="57"/>
      <c r="F34" s="80"/>
      <c r="G34" s="80"/>
      <c r="H34" s="80"/>
      <c r="I34" s="80"/>
      <c r="J34" s="45"/>
      <c r="K34" s="57"/>
      <c r="L34" s="80"/>
      <c r="M34" s="80"/>
      <c r="N34" s="45"/>
      <c r="O34" s="57"/>
      <c r="P34" s="80"/>
      <c r="Q34" s="80"/>
      <c r="R34" s="93"/>
      <c r="S34" s="57"/>
      <c r="T34" s="80"/>
      <c r="U34" s="80"/>
      <c r="V34" s="93"/>
    </row>
    <row r="35" spans="1:22" ht="13.5" hidden="1" thickBot="1" x14ac:dyDescent="0.25">
      <c r="B35" s="1" t="s">
        <v>45</v>
      </c>
      <c r="C35" s="60"/>
      <c r="D35" s="2"/>
      <c r="F35" s="80"/>
      <c r="G35" s="80"/>
      <c r="H35" s="80"/>
      <c r="I35" s="80"/>
      <c r="J35" s="45"/>
      <c r="K35" s="57"/>
      <c r="L35" s="80"/>
      <c r="M35" s="80"/>
      <c r="N35" s="45"/>
      <c r="O35" s="57"/>
      <c r="P35" s="80"/>
      <c r="Q35" s="80"/>
      <c r="R35" s="93"/>
      <c r="S35" s="57"/>
      <c r="T35" s="80"/>
      <c r="U35" s="80"/>
      <c r="V35" s="93"/>
    </row>
    <row r="36" spans="1:22" ht="13.5" hidden="1" thickBot="1" x14ac:dyDescent="0.25">
      <c r="B36" s="1" t="s">
        <v>46</v>
      </c>
      <c r="C36" s="57"/>
      <c r="F36" s="143" t="s">
        <v>16</v>
      </c>
      <c r="G36" s="143"/>
      <c r="H36" s="80"/>
      <c r="I36" s="80"/>
      <c r="J36" s="45"/>
      <c r="K36" s="57"/>
      <c r="L36" s="80"/>
      <c r="M36" s="80"/>
      <c r="N36" s="45"/>
      <c r="O36" s="57"/>
      <c r="P36" s="80"/>
      <c r="Q36" s="80"/>
      <c r="R36" s="93"/>
      <c r="S36" s="57"/>
      <c r="T36" s="80"/>
      <c r="U36" s="80"/>
      <c r="V36" s="93"/>
    </row>
    <row r="37" spans="1:22" ht="13.5" hidden="1" thickBot="1" x14ac:dyDescent="0.25">
      <c r="A37" s="3">
        <v>0.85</v>
      </c>
      <c r="B37" s="1" t="s">
        <v>47</v>
      </c>
      <c r="C37" s="57"/>
      <c r="F37" s="136" t="s">
        <v>17</v>
      </c>
      <c r="G37" s="136" t="s">
        <v>18</v>
      </c>
      <c r="H37" s="80"/>
      <c r="I37" s="80"/>
      <c r="J37" s="45"/>
      <c r="K37" s="57"/>
      <c r="L37" s="80"/>
      <c r="M37" s="80"/>
      <c r="N37" s="45"/>
      <c r="O37" s="57"/>
      <c r="P37" s="80"/>
      <c r="Q37" s="80"/>
      <c r="R37" s="93"/>
      <c r="S37" s="57"/>
      <c r="T37" s="80"/>
      <c r="U37" s="80"/>
      <c r="V37" s="93"/>
    </row>
    <row r="38" spans="1:22" ht="13.5" hidden="1" thickBot="1" x14ac:dyDescent="0.25">
      <c r="A38" s="4">
        <f>10%/12</f>
        <v>8.3333333333333332E-3</v>
      </c>
      <c r="B38" s="1" t="s">
        <v>48</v>
      </c>
      <c r="C38" s="57" t="s">
        <v>0</v>
      </c>
      <c r="F38" s="80">
        <v>19800</v>
      </c>
      <c r="G38" s="80" t="e">
        <f>0.99*#REF!</f>
        <v>#REF!</v>
      </c>
      <c r="H38" s="80"/>
      <c r="I38" s="80"/>
      <c r="J38" s="45"/>
      <c r="K38" s="57"/>
      <c r="L38" s="80"/>
      <c r="M38" s="80"/>
      <c r="N38" s="45"/>
      <c r="O38" s="57"/>
      <c r="P38" s="80"/>
      <c r="Q38" s="80"/>
      <c r="R38" s="93"/>
      <c r="S38" s="57"/>
      <c r="T38" s="80"/>
      <c r="U38" s="80"/>
      <c r="V38" s="93"/>
    </row>
    <row r="39" spans="1:22" ht="13.5" hidden="1" thickBot="1" x14ac:dyDescent="0.25">
      <c r="A39" s="7" t="e">
        <f>9*A38*#REF!</f>
        <v>#REF!</v>
      </c>
      <c r="B39" s="1" t="s">
        <v>26</v>
      </c>
      <c r="C39" s="57" t="s">
        <v>15</v>
      </c>
      <c r="F39" s="80">
        <v>200</v>
      </c>
      <c r="G39" s="80" t="e">
        <f>0.01*#REF!</f>
        <v>#REF!</v>
      </c>
      <c r="H39" s="80"/>
      <c r="I39" s="80"/>
      <c r="J39" s="45"/>
      <c r="K39" s="57"/>
      <c r="L39" s="80"/>
      <c r="M39" s="80"/>
      <c r="N39" s="45"/>
      <c r="O39" s="57"/>
      <c r="P39" s="80"/>
      <c r="Q39" s="80"/>
      <c r="R39" s="93"/>
      <c r="S39" s="57"/>
      <c r="T39" s="80"/>
      <c r="U39" s="80"/>
      <c r="V39" s="93"/>
    </row>
    <row r="40" spans="1:22" ht="13.5" hidden="1" thickBot="1" x14ac:dyDescent="0.25">
      <c r="B40" s="1" t="s">
        <v>6</v>
      </c>
      <c r="C40" s="57"/>
      <c r="E40" t="s">
        <v>7</v>
      </c>
      <c r="F40" s="80">
        <f>SUM(F38:F39)</f>
        <v>20000</v>
      </c>
      <c r="G40" s="80" t="e">
        <f>SUM(G38:G39)</f>
        <v>#REF!</v>
      </c>
      <c r="H40" s="80"/>
      <c r="I40" s="80"/>
      <c r="J40" s="45"/>
      <c r="K40" s="57"/>
      <c r="L40" s="80"/>
      <c r="M40" s="80"/>
      <c r="N40" s="45"/>
      <c r="O40" s="57"/>
      <c r="P40" s="80"/>
      <c r="Q40" s="80"/>
      <c r="R40" s="93"/>
      <c r="S40" s="57"/>
      <c r="T40" s="80"/>
      <c r="U40" s="80"/>
      <c r="V40" s="93"/>
    </row>
    <row r="41" spans="1:22" ht="13.5" hidden="1" thickBot="1" x14ac:dyDescent="0.25">
      <c r="B41" s="1" t="s">
        <v>10</v>
      </c>
      <c r="C41" s="57"/>
      <c r="F41" s="80"/>
      <c r="G41" s="80"/>
      <c r="H41" s="80"/>
      <c r="I41" s="80"/>
      <c r="J41" s="45"/>
      <c r="K41" s="57"/>
      <c r="L41" s="80"/>
      <c r="M41" s="80"/>
      <c r="N41" s="45"/>
      <c r="O41" s="57"/>
      <c r="P41" s="80"/>
      <c r="Q41" s="80"/>
      <c r="R41" s="93"/>
      <c r="S41" s="57"/>
      <c r="T41" s="80"/>
      <c r="U41" s="80"/>
      <c r="V41" s="93"/>
    </row>
    <row r="42" spans="1:22" ht="13.5" hidden="1" thickBot="1" x14ac:dyDescent="0.25">
      <c r="B42" s="1"/>
      <c r="C42" s="57"/>
      <c r="F42" s="80"/>
      <c r="G42" s="80"/>
      <c r="H42" s="80"/>
      <c r="I42" s="80"/>
      <c r="J42" s="45"/>
      <c r="K42" s="57"/>
      <c r="L42" s="80"/>
      <c r="M42" s="80"/>
      <c r="N42" s="45"/>
      <c r="O42" s="57"/>
      <c r="P42" s="80"/>
      <c r="Q42" s="80"/>
      <c r="R42" s="93"/>
      <c r="S42" s="57"/>
      <c r="T42" s="80"/>
      <c r="U42" s="80"/>
      <c r="V42" s="93"/>
    </row>
    <row r="43" spans="1:22" ht="13.5" hidden="1" thickBot="1" x14ac:dyDescent="0.25">
      <c r="C43" s="57"/>
      <c r="F43" s="80"/>
      <c r="G43" s="80"/>
      <c r="H43" s="80"/>
      <c r="I43" s="80"/>
      <c r="J43" s="45"/>
      <c r="K43" s="57"/>
      <c r="L43" s="80"/>
      <c r="M43" s="80"/>
      <c r="N43" s="45"/>
      <c r="O43" s="57"/>
      <c r="P43" s="80"/>
      <c r="Q43" s="80"/>
      <c r="R43" s="93"/>
      <c r="S43" s="57"/>
      <c r="T43" s="80"/>
      <c r="U43" s="80"/>
      <c r="V43" s="93"/>
    </row>
    <row r="44" spans="1:22" ht="12.75" hidden="1" customHeight="1" x14ac:dyDescent="0.2">
      <c r="B44" s="6"/>
      <c r="C44" s="57"/>
      <c r="F44" s="80"/>
      <c r="G44" s="80"/>
      <c r="H44" s="80"/>
      <c r="I44" s="80"/>
      <c r="J44" s="45"/>
      <c r="K44" s="57"/>
      <c r="L44" s="80"/>
      <c r="M44" s="80"/>
      <c r="N44" s="45"/>
      <c r="O44" s="57"/>
      <c r="P44" s="80"/>
      <c r="Q44" s="80"/>
      <c r="R44" s="93"/>
      <c r="S44" s="57"/>
      <c r="T44" s="80"/>
      <c r="U44" s="80"/>
      <c r="V44" s="93"/>
    </row>
    <row r="45" spans="1:22" ht="13.5" hidden="1" thickBot="1" x14ac:dyDescent="0.25">
      <c r="A45" s="6" t="s">
        <v>14</v>
      </c>
      <c r="B45" t="s">
        <v>2</v>
      </c>
      <c r="C45" s="57"/>
      <c r="F45" s="80"/>
      <c r="G45" s="80"/>
      <c r="H45" s="80"/>
      <c r="I45" s="80"/>
      <c r="J45" s="45"/>
      <c r="K45" s="57"/>
      <c r="L45" s="80"/>
      <c r="M45" s="80"/>
      <c r="N45" s="45"/>
      <c r="O45" s="57"/>
      <c r="P45" s="80"/>
      <c r="Q45" s="80"/>
      <c r="R45" s="93"/>
      <c r="S45" s="57"/>
      <c r="T45" s="80"/>
      <c r="U45" s="80"/>
      <c r="V45" s="93"/>
    </row>
    <row r="46" spans="1:22" ht="13.5" hidden="1" thickBot="1" x14ac:dyDescent="0.25">
      <c r="B46" t="s">
        <v>3</v>
      </c>
      <c r="C46" s="57"/>
      <c r="F46" s="80"/>
      <c r="G46" s="80"/>
      <c r="H46" s="80"/>
      <c r="I46" s="80"/>
      <c r="J46" s="45"/>
      <c r="K46" s="57"/>
      <c r="L46" s="80"/>
      <c r="M46" s="80"/>
      <c r="N46" s="45"/>
      <c r="O46" s="57"/>
      <c r="P46" s="80"/>
      <c r="Q46" s="80"/>
      <c r="R46" s="93"/>
      <c r="S46" s="57"/>
      <c r="T46" s="80"/>
      <c r="U46" s="80"/>
      <c r="V46" s="93"/>
    </row>
    <row r="47" spans="1:22" ht="13.5" hidden="1" thickBot="1" x14ac:dyDescent="0.25">
      <c r="B47" t="s">
        <v>11</v>
      </c>
      <c r="C47" s="57"/>
      <c r="F47" s="80"/>
      <c r="G47" s="80"/>
      <c r="H47" s="80"/>
      <c r="I47" s="80"/>
      <c r="J47" s="45"/>
      <c r="K47" s="57"/>
      <c r="L47" s="80"/>
      <c r="M47" s="80"/>
      <c r="N47" s="45"/>
      <c r="O47" s="57"/>
      <c r="P47" s="80"/>
      <c r="Q47" s="80"/>
      <c r="R47" s="93"/>
      <c r="S47" s="57"/>
      <c r="T47" s="80"/>
      <c r="U47" s="80"/>
      <c r="V47" s="93"/>
    </row>
    <row r="48" spans="1:22" ht="13.5" hidden="1" thickBot="1" x14ac:dyDescent="0.25">
      <c r="A48" s="3">
        <v>0.85</v>
      </c>
      <c r="B48" t="s">
        <v>4</v>
      </c>
      <c r="C48" s="57"/>
      <c r="F48" s="80"/>
      <c r="G48" s="80"/>
      <c r="H48" s="80"/>
      <c r="I48" s="80"/>
      <c r="J48" s="45"/>
      <c r="K48" s="57"/>
      <c r="L48" s="80"/>
      <c r="M48" s="80"/>
      <c r="N48" s="45"/>
      <c r="O48" s="57"/>
      <c r="P48" s="80"/>
      <c r="Q48" s="80"/>
      <c r="R48" s="93"/>
      <c r="S48" s="57"/>
      <c r="T48" s="80"/>
      <c r="U48" s="80"/>
      <c r="V48" s="93"/>
    </row>
    <row r="49" spans="1:22" ht="13.5" hidden="1" thickBot="1" x14ac:dyDescent="0.25">
      <c r="A49" s="4">
        <f>A38</f>
        <v>8.3333333333333332E-3</v>
      </c>
      <c r="B49" t="s">
        <v>8</v>
      </c>
      <c r="C49" s="57"/>
      <c r="F49" s="80"/>
      <c r="G49" s="80"/>
      <c r="H49" s="80"/>
      <c r="I49" s="80"/>
      <c r="J49" s="45"/>
      <c r="K49" s="57"/>
      <c r="L49" s="80"/>
      <c r="M49" s="80"/>
      <c r="N49" s="45"/>
      <c r="O49" s="57"/>
      <c r="P49" s="80"/>
      <c r="Q49" s="80"/>
      <c r="R49" s="93"/>
      <c r="S49" s="57"/>
      <c r="T49" s="80"/>
      <c r="U49" s="80"/>
      <c r="V49" s="93"/>
    </row>
    <row r="50" spans="1:22" ht="13.5" hidden="1" thickBot="1" x14ac:dyDescent="0.25">
      <c r="A50" s="7" t="e">
        <f>A49*13*#REF!</f>
        <v>#REF!</v>
      </c>
      <c r="B50" t="s">
        <v>5</v>
      </c>
      <c r="C50" s="57"/>
      <c r="F50" s="80"/>
      <c r="G50" s="80"/>
      <c r="H50" s="80"/>
      <c r="I50" s="80"/>
      <c r="J50" s="45"/>
      <c r="K50" s="57"/>
      <c r="L50" s="80"/>
      <c r="M50" s="80"/>
      <c r="N50" s="45"/>
      <c r="O50" s="57"/>
      <c r="P50" s="80"/>
      <c r="Q50" s="80"/>
      <c r="R50" s="93"/>
      <c r="S50" s="57"/>
      <c r="T50" s="80"/>
      <c r="U50" s="80"/>
      <c r="V50" s="93"/>
    </row>
    <row r="51" spans="1:22" ht="13.5" hidden="1" thickBot="1" x14ac:dyDescent="0.25">
      <c r="B51" s="1" t="s">
        <v>6</v>
      </c>
      <c r="C51" s="57"/>
      <c r="F51" s="80"/>
      <c r="G51" s="80"/>
      <c r="H51" s="80"/>
      <c r="I51" s="80"/>
      <c r="J51" s="45"/>
      <c r="K51" s="57"/>
      <c r="L51" s="80"/>
      <c r="M51" s="80"/>
      <c r="N51" s="45"/>
      <c r="O51" s="57"/>
      <c r="P51" s="80"/>
      <c r="Q51" s="80"/>
      <c r="R51" s="93"/>
      <c r="S51" s="57"/>
      <c r="T51" s="80"/>
      <c r="U51" s="80"/>
      <c r="V51" s="93"/>
    </row>
    <row r="52" spans="1:22" ht="13.5" hidden="1" thickBot="1" x14ac:dyDescent="0.25">
      <c r="B52" s="1" t="s">
        <v>10</v>
      </c>
      <c r="C52" s="57"/>
      <c r="F52" s="80"/>
      <c r="G52" s="80"/>
      <c r="H52" s="80"/>
      <c r="I52" s="80"/>
      <c r="J52" s="45"/>
      <c r="K52" s="57"/>
      <c r="L52" s="80"/>
      <c r="M52" s="80"/>
      <c r="N52" s="45"/>
      <c r="O52" s="57"/>
      <c r="P52" s="80"/>
      <c r="Q52" s="80"/>
      <c r="R52" s="93"/>
      <c r="S52" s="57"/>
      <c r="T52" s="80"/>
      <c r="U52" s="80"/>
      <c r="V52" s="93"/>
    </row>
    <row r="53" spans="1:22" x14ac:dyDescent="0.2">
      <c r="B53" s="1" t="s">
        <v>49</v>
      </c>
      <c r="C53" s="57"/>
      <c r="F53" s="45"/>
      <c r="G53" s="80"/>
      <c r="H53" s="80"/>
      <c r="I53" s="80"/>
      <c r="J53" s="45"/>
      <c r="K53" s="94">
        <f t="shared" ref="K53:K58" si="13">L53/$M$9</f>
        <v>519031.14186851209</v>
      </c>
      <c r="L53" s="74">
        <f t="shared" ref="L53:L58" si="14">$M$8*M53</f>
        <v>250000</v>
      </c>
      <c r="M53" s="107">
        <v>0.25</v>
      </c>
      <c r="N53" s="51">
        <f t="shared" ref="N53:N58" si="15">K53/$K$78</f>
        <v>3.7499999999999999E-2</v>
      </c>
      <c r="O53" s="57"/>
      <c r="P53" s="80"/>
      <c r="Q53" s="80"/>
      <c r="R53" s="51">
        <f t="shared" ref="R53:R58" si="16">K53/$O$78</f>
        <v>3.0000000000000002E-2</v>
      </c>
      <c r="S53" s="57"/>
      <c r="T53" s="80"/>
      <c r="U53" s="80"/>
      <c r="V53" s="128">
        <f>K53/$S$78</f>
        <v>2.7E-2</v>
      </c>
    </row>
    <row r="54" spans="1:22" x14ac:dyDescent="0.2">
      <c r="B54" s="1" t="s">
        <v>50</v>
      </c>
      <c r="C54" s="57"/>
      <c r="F54" s="45"/>
      <c r="G54" s="80"/>
      <c r="I54" s="80"/>
      <c r="J54" s="45"/>
      <c r="K54" s="94">
        <f t="shared" si="13"/>
        <v>519031.14186851209</v>
      </c>
      <c r="L54" s="74">
        <f t="shared" si="14"/>
        <v>250000</v>
      </c>
      <c r="M54" s="39">
        <v>0.25</v>
      </c>
      <c r="N54" s="51">
        <f t="shared" si="15"/>
        <v>3.7499999999999999E-2</v>
      </c>
      <c r="O54" s="57"/>
      <c r="P54" s="80"/>
      <c r="Q54" s="80"/>
      <c r="R54" s="51">
        <f t="shared" si="16"/>
        <v>3.0000000000000002E-2</v>
      </c>
      <c r="S54" s="57"/>
      <c r="T54" s="80"/>
      <c r="U54" s="80"/>
      <c r="V54" s="128">
        <f>K54/$S$78</f>
        <v>2.7E-2</v>
      </c>
    </row>
    <row r="55" spans="1:22" x14ac:dyDescent="0.2">
      <c r="B55" s="1" t="s">
        <v>51</v>
      </c>
      <c r="C55" s="57"/>
      <c r="F55" s="45"/>
      <c r="G55" s="80"/>
      <c r="H55" s="80"/>
      <c r="I55" s="80"/>
      <c r="J55" s="45"/>
      <c r="K55" s="94">
        <f t="shared" si="13"/>
        <v>207612.45674740482</v>
      </c>
      <c r="L55" s="74">
        <f t="shared" si="14"/>
        <v>100000</v>
      </c>
      <c r="M55" s="39">
        <v>0.1</v>
      </c>
      <c r="N55" s="51">
        <f t="shared" si="15"/>
        <v>1.4999999999999999E-2</v>
      </c>
      <c r="O55" s="57"/>
      <c r="P55" s="80"/>
      <c r="Q55" s="80"/>
      <c r="R55" s="51">
        <f t="shared" si="16"/>
        <v>1.2E-2</v>
      </c>
      <c r="S55" s="57"/>
      <c r="T55" s="80"/>
      <c r="U55" s="80"/>
      <c r="V55" s="128">
        <f>K55/$S$78</f>
        <v>1.0799999999999999E-2</v>
      </c>
    </row>
    <row r="56" spans="1:22" x14ac:dyDescent="0.2">
      <c r="B56" s="1" t="s">
        <v>52</v>
      </c>
      <c r="C56" s="57"/>
      <c r="D56" s="11"/>
      <c r="F56" s="45"/>
      <c r="G56" s="80"/>
      <c r="H56" s="80"/>
      <c r="I56" s="80"/>
      <c r="J56" s="45"/>
      <c r="K56" s="94">
        <f t="shared" si="13"/>
        <v>207612.45674740482</v>
      </c>
      <c r="L56" s="74">
        <f t="shared" si="14"/>
        <v>100000</v>
      </c>
      <c r="M56" s="39">
        <v>0.1</v>
      </c>
      <c r="N56" s="51">
        <f t="shared" si="15"/>
        <v>1.4999999999999999E-2</v>
      </c>
      <c r="O56" s="57"/>
      <c r="P56" s="80"/>
      <c r="Q56" s="80"/>
      <c r="R56" s="51">
        <f t="shared" si="16"/>
        <v>1.2E-2</v>
      </c>
      <c r="S56" s="57"/>
      <c r="T56" s="80"/>
      <c r="U56" s="80"/>
      <c r="V56" s="128">
        <f>K56/$S$78</f>
        <v>1.0799999999999999E-2</v>
      </c>
    </row>
    <row r="57" spans="1:22" x14ac:dyDescent="0.2">
      <c r="B57" s="1" t="s">
        <v>53</v>
      </c>
      <c r="C57" s="57"/>
      <c r="D57" s="3"/>
      <c r="F57" s="45"/>
      <c r="G57" s="80"/>
      <c r="H57" s="80"/>
      <c r="I57" s="80"/>
      <c r="J57" s="45"/>
      <c r="K57" s="94">
        <f t="shared" si="13"/>
        <v>311418.68512110726</v>
      </c>
      <c r="L57" s="74">
        <f t="shared" si="14"/>
        <v>150000</v>
      </c>
      <c r="M57" s="39">
        <v>0.15</v>
      </c>
      <c r="N57" s="51">
        <f t="shared" si="15"/>
        <v>2.2499999999999999E-2</v>
      </c>
      <c r="O57" s="57"/>
      <c r="P57" s="80"/>
      <c r="Q57" s="80"/>
      <c r="R57" s="51">
        <f t="shared" si="16"/>
        <v>1.8000000000000002E-2</v>
      </c>
      <c r="S57" s="57"/>
      <c r="T57" s="80"/>
      <c r="U57" s="80"/>
      <c r="V57" s="128">
        <f>K57/$S$78</f>
        <v>1.6199999999999999E-2</v>
      </c>
    </row>
    <row r="58" spans="1:22" ht="13.5" thickBot="1" x14ac:dyDescent="0.25">
      <c r="B58" s="1" t="s">
        <v>54</v>
      </c>
      <c r="C58" s="57"/>
      <c r="D58" s="9"/>
      <c r="F58" s="45"/>
      <c r="G58" s="80"/>
      <c r="H58" s="80"/>
      <c r="I58" s="80"/>
      <c r="J58" s="45"/>
      <c r="K58" s="94">
        <f t="shared" si="13"/>
        <v>311418.68512110726</v>
      </c>
      <c r="L58" s="74">
        <f t="shared" si="14"/>
        <v>150000</v>
      </c>
      <c r="M58" s="40">
        <v>0.15</v>
      </c>
      <c r="N58" s="51">
        <f t="shared" si="15"/>
        <v>2.2499999999999999E-2</v>
      </c>
      <c r="O58" s="57"/>
      <c r="P58" s="80"/>
      <c r="Q58" s="80"/>
      <c r="R58" s="51">
        <f t="shared" si="16"/>
        <v>1.8000000000000002E-2</v>
      </c>
      <c r="S58" s="57"/>
      <c r="T58" s="80"/>
      <c r="U58" s="80"/>
      <c r="V58" s="128">
        <f>K58/$O$78</f>
        <v>1.8000000000000002E-2</v>
      </c>
    </row>
    <row r="59" spans="1:22" x14ac:dyDescent="0.2">
      <c r="B59" s="5" t="s">
        <v>30</v>
      </c>
      <c r="C59" s="58"/>
      <c r="D59" s="13"/>
      <c r="E59" s="5"/>
      <c r="F59" s="46"/>
      <c r="G59" s="82"/>
      <c r="H59" s="82"/>
      <c r="I59" s="82"/>
      <c r="J59" s="46"/>
      <c r="K59" s="94">
        <f>SUM(K53:K58)</f>
        <v>2076124.5674740486</v>
      </c>
      <c r="L59" s="95">
        <f>SUM(L53:L58)</f>
        <v>1000000</v>
      </c>
      <c r="M59" s="77">
        <f>SUM(M53:M58)</f>
        <v>1</v>
      </c>
      <c r="N59" s="72">
        <f>SUM(N53:N58)</f>
        <v>0.15</v>
      </c>
      <c r="O59" s="58"/>
      <c r="P59" s="82"/>
      <c r="Q59" s="82"/>
      <c r="R59" s="92">
        <f>SUM(R53:R58)</f>
        <v>0.12000000000000001</v>
      </c>
      <c r="S59" s="58"/>
      <c r="T59" s="82"/>
      <c r="U59" s="82"/>
      <c r="V59" s="92">
        <f>SUM(V53:V58)</f>
        <v>0.10979999999999999</v>
      </c>
    </row>
    <row r="60" spans="1:22" x14ac:dyDescent="0.2">
      <c r="B60" s="1" t="s">
        <v>12</v>
      </c>
      <c r="C60" s="57"/>
      <c r="D60" s="10"/>
      <c r="F60" s="45"/>
      <c r="G60" s="80"/>
      <c r="H60" s="80"/>
      <c r="I60" s="80"/>
      <c r="J60" s="45"/>
      <c r="K60" s="57"/>
      <c r="L60" s="96" t="s">
        <v>12</v>
      </c>
      <c r="M60" s="132" t="str">
        <f>IF(SUM(M53:M58)=1," ","Error≠100%")</f>
        <v xml:space="preserve"> </v>
      </c>
      <c r="N60" s="45"/>
      <c r="O60" s="57"/>
      <c r="P60" s="80"/>
      <c r="Q60" s="80"/>
      <c r="R60" s="93"/>
      <c r="S60" s="57"/>
      <c r="T60" s="80"/>
      <c r="U60" s="80"/>
      <c r="V60" s="93"/>
    </row>
    <row r="61" spans="1:22" ht="13.5" thickBot="1" x14ac:dyDescent="0.25">
      <c r="B61" s="41" t="s">
        <v>31</v>
      </c>
      <c r="C61" s="59"/>
      <c r="D61" s="44"/>
      <c r="E61" s="44"/>
      <c r="F61" s="47"/>
      <c r="G61" s="79"/>
      <c r="H61" s="79"/>
      <c r="I61" s="79"/>
      <c r="J61" s="47"/>
      <c r="K61" s="59"/>
      <c r="L61" s="79"/>
      <c r="M61" s="79"/>
      <c r="N61" s="47"/>
      <c r="O61" s="59"/>
      <c r="P61" s="79"/>
      <c r="Q61" s="79"/>
      <c r="R61" s="121"/>
      <c r="S61" s="59"/>
      <c r="T61" s="79"/>
      <c r="U61" s="79"/>
      <c r="V61" s="121"/>
    </row>
    <row r="62" spans="1:22" x14ac:dyDescent="0.2">
      <c r="B62" s="1" t="s">
        <v>55</v>
      </c>
      <c r="C62" s="57"/>
      <c r="D62" s="3"/>
      <c r="F62" s="45"/>
      <c r="J62" s="45"/>
      <c r="K62" s="57"/>
      <c r="L62" s="80"/>
      <c r="M62" s="80"/>
      <c r="N62" s="45"/>
      <c r="O62" s="55">
        <f t="shared" ref="O62:O67" si="17">P62/$Q$9</f>
        <v>3460207.6124567473</v>
      </c>
      <c r="P62" s="74">
        <f t="shared" ref="P62:P67" si="18">$Q$8*Q62</f>
        <v>10000000</v>
      </c>
      <c r="Q62" s="107">
        <v>1</v>
      </c>
      <c r="R62" s="51">
        <f t="shared" ref="R62:R67" si="19">O62/$O$78</f>
        <v>0.2</v>
      </c>
      <c r="S62" s="57"/>
      <c r="T62" s="80"/>
      <c r="U62" s="80"/>
      <c r="V62" s="128">
        <f t="shared" ref="V62:V67" si="20">O62/$S$78</f>
        <v>0.18</v>
      </c>
    </row>
    <row r="63" spans="1:22" x14ac:dyDescent="0.2">
      <c r="B63" s="1" t="s">
        <v>56</v>
      </c>
      <c r="C63" s="57"/>
      <c r="F63" s="45"/>
      <c r="J63" s="45"/>
      <c r="K63" s="57"/>
      <c r="L63" s="80"/>
      <c r="M63" s="80"/>
      <c r="N63" s="45"/>
      <c r="O63" s="55">
        <f t="shared" si="17"/>
        <v>0</v>
      </c>
      <c r="P63" s="74">
        <f t="shared" si="18"/>
        <v>0</v>
      </c>
      <c r="Q63" s="39">
        <v>0</v>
      </c>
      <c r="R63" s="51">
        <f t="shared" si="19"/>
        <v>0</v>
      </c>
      <c r="S63" s="57"/>
      <c r="T63" s="80"/>
      <c r="U63" s="80"/>
      <c r="V63" s="128">
        <f t="shared" si="20"/>
        <v>0</v>
      </c>
    </row>
    <row r="64" spans="1:22" x14ac:dyDescent="0.2">
      <c r="B64" s="1" t="s">
        <v>57</v>
      </c>
      <c r="C64" s="57"/>
      <c r="F64" s="45"/>
      <c r="I64" s="1" t="s">
        <v>12</v>
      </c>
      <c r="J64" s="45"/>
      <c r="K64" s="57"/>
      <c r="L64" s="80"/>
      <c r="M64" s="80"/>
      <c r="N64" s="45"/>
      <c r="O64" s="55">
        <f t="shared" si="17"/>
        <v>0</v>
      </c>
      <c r="P64" s="74">
        <f t="shared" si="18"/>
        <v>0</v>
      </c>
      <c r="Q64" s="39">
        <v>0</v>
      </c>
      <c r="R64" s="51">
        <f t="shared" si="19"/>
        <v>0</v>
      </c>
      <c r="S64" s="57"/>
      <c r="T64" s="80"/>
      <c r="U64" s="80"/>
      <c r="V64" s="128">
        <f t="shared" si="20"/>
        <v>0</v>
      </c>
    </row>
    <row r="65" spans="2:22" x14ac:dyDescent="0.2">
      <c r="B65" s="1" t="s">
        <v>58</v>
      </c>
      <c r="C65" s="57"/>
      <c r="F65" s="45"/>
      <c r="J65" s="45"/>
      <c r="K65" s="57"/>
      <c r="L65" s="80"/>
      <c r="M65" s="80"/>
      <c r="N65" s="45"/>
      <c r="O65" s="55">
        <f t="shared" si="17"/>
        <v>0</v>
      </c>
      <c r="P65" s="74">
        <f t="shared" si="18"/>
        <v>0</v>
      </c>
      <c r="Q65" s="39">
        <v>0</v>
      </c>
      <c r="R65" s="51">
        <f t="shared" si="19"/>
        <v>0</v>
      </c>
      <c r="S65" s="57"/>
      <c r="T65" s="80"/>
      <c r="U65" s="80"/>
      <c r="V65" s="128">
        <f t="shared" si="20"/>
        <v>0</v>
      </c>
    </row>
    <row r="66" spans="2:22" x14ac:dyDescent="0.2">
      <c r="B66" s="1" t="s">
        <v>59</v>
      </c>
      <c r="C66" s="61" t="s">
        <v>12</v>
      </c>
      <c r="D66" s="10"/>
      <c r="F66" s="45"/>
      <c r="J66" s="45"/>
      <c r="K66" s="57"/>
      <c r="L66" s="80"/>
      <c r="M66" s="80"/>
      <c r="N66" s="45"/>
      <c r="O66" s="55">
        <f t="shared" si="17"/>
        <v>0</v>
      </c>
      <c r="P66" s="74">
        <f t="shared" si="18"/>
        <v>0</v>
      </c>
      <c r="Q66" s="39">
        <v>0</v>
      </c>
      <c r="R66" s="51">
        <f t="shared" si="19"/>
        <v>0</v>
      </c>
      <c r="S66" s="57"/>
      <c r="T66" s="80"/>
      <c r="U66" s="80"/>
      <c r="V66" s="128">
        <f t="shared" si="20"/>
        <v>0</v>
      </c>
    </row>
    <row r="67" spans="2:22" ht="13.5" thickBot="1" x14ac:dyDescent="0.25">
      <c r="B67" s="1" t="s">
        <v>60</v>
      </c>
      <c r="C67" s="57"/>
      <c r="F67" s="45"/>
      <c r="J67" s="45"/>
      <c r="K67" s="57"/>
      <c r="L67" s="80"/>
      <c r="M67" s="80"/>
      <c r="N67" s="45"/>
      <c r="O67" s="55">
        <f t="shared" si="17"/>
        <v>0</v>
      </c>
      <c r="P67" s="74">
        <f t="shared" si="18"/>
        <v>0</v>
      </c>
      <c r="Q67" s="40">
        <v>0</v>
      </c>
      <c r="R67" s="51">
        <f t="shared" si="19"/>
        <v>0</v>
      </c>
      <c r="S67" s="57"/>
      <c r="T67" s="80"/>
      <c r="U67" s="80"/>
      <c r="V67" s="128">
        <f t="shared" si="20"/>
        <v>0</v>
      </c>
    </row>
    <row r="68" spans="2:22" x14ac:dyDescent="0.2">
      <c r="B68" s="5" t="s">
        <v>32</v>
      </c>
      <c r="C68" s="58"/>
      <c r="D68" s="5"/>
      <c r="E68" s="5"/>
      <c r="F68" s="46"/>
      <c r="G68" s="5"/>
      <c r="H68" s="5"/>
      <c r="I68" s="5"/>
      <c r="J68" s="46"/>
      <c r="K68" s="58"/>
      <c r="L68" s="82"/>
      <c r="M68" s="82"/>
      <c r="N68" s="46"/>
      <c r="O68" s="54">
        <f>SUM(O62:O67)</f>
        <v>3460207.6124567473</v>
      </c>
      <c r="P68" s="95">
        <f>SUM(P62:P67)</f>
        <v>10000000</v>
      </c>
      <c r="Q68" s="77">
        <f>SUM(Q62:Q67)</f>
        <v>1</v>
      </c>
      <c r="R68" s="50">
        <f>SUM(R62:R67)</f>
        <v>0.2</v>
      </c>
      <c r="S68" s="58"/>
      <c r="T68" s="82"/>
      <c r="U68" s="82"/>
      <c r="V68" s="50">
        <f>SUM(V62:V67)</f>
        <v>0.18</v>
      </c>
    </row>
    <row r="69" spans="2:22" x14ac:dyDescent="0.2">
      <c r="B69" s="1"/>
      <c r="C69" s="57"/>
      <c r="F69" s="45"/>
      <c r="J69" s="45"/>
      <c r="K69" s="57"/>
      <c r="L69" s="80"/>
      <c r="M69" s="80"/>
      <c r="N69" s="45"/>
      <c r="O69" s="122"/>
      <c r="P69" s="119"/>
      <c r="Q69" s="131" t="str">
        <f>IF(SUM(Q62:Q67)=1," ","Error≠100%")</f>
        <v xml:space="preserve"> </v>
      </c>
      <c r="R69" s="51"/>
      <c r="S69" s="57"/>
      <c r="T69" s="80"/>
      <c r="U69" s="80"/>
      <c r="V69" s="128"/>
    </row>
    <row r="70" spans="2:22" ht="13.5" thickBot="1" x14ac:dyDescent="0.25">
      <c r="B70" s="41" t="s">
        <v>33</v>
      </c>
      <c r="C70" s="59"/>
      <c r="D70" s="44"/>
      <c r="E70" s="44"/>
      <c r="F70" s="47"/>
      <c r="G70" s="44"/>
      <c r="H70" s="44"/>
      <c r="I70" s="44"/>
      <c r="J70" s="47"/>
      <c r="K70" s="59"/>
      <c r="L70" s="79"/>
      <c r="M70" s="79"/>
      <c r="N70" s="47"/>
      <c r="O70" s="59"/>
      <c r="P70" s="79"/>
      <c r="Q70" s="79"/>
      <c r="R70" s="47"/>
      <c r="S70" s="59"/>
      <c r="T70" s="79"/>
      <c r="U70" s="79"/>
      <c r="V70" s="47"/>
    </row>
    <row r="71" spans="2:22" x14ac:dyDescent="0.2">
      <c r="B71" s="1" t="s">
        <v>61</v>
      </c>
      <c r="C71" s="57"/>
      <c r="F71" s="45"/>
      <c r="J71" s="45"/>
      <c r="K71" s="57"/>
      <c r="L71" s="80"/>
      <c r="M71" s="80"/>
      <c r="N71" s="45"/>
      <c r="O71" s="57"/>
      <c r="P71" s="80"/>
      <c r="Q71" s="80"/>
      <c r="R71" s="45"/>
      <c r="S71" s="55">
        <f t="shared" ref="S71:S76" si="21">T71/$U$9</f>
        <v>1922337.5624759707</v>
      </c>
      <c r="T71" s="74">
        <f t="shared" ref="T71:T76" si="22">$U$8*U71</f>
        <v>40000000</v>
      </c>
      <c r="U71" s="107">
        <v>1</v>
      </c>
      <c r="V71" s="51">
        <f t="shared" ref="V71:V76" si="23">S71/$S$78</f>
        <v>9.9999999999999992E-2</v>
      </c>
    </row>
    <row r="72" spans="2:22" x14ac:dyDescent="0.2">
      <c r="B72" s="1" t="s">
        <v>62</v>
      </c>
      <c r="C72" s="57"/>
      <c r="F72" s="45"/>
      <c r="J72" s="45"/>
      <c r="K72" s="57"/>
      <c r="L72" s="80"/>
      <c r="M72" s="80"/>
      <c r="N72" s="45"/>
      <c r="O72" s="57"/>
      <c r="P72" s="80"/>
      <c r="Q72" s="80"/>
      <c r="R72" s="45"/>
      <c r="S72" s="55">
        <f t="shared" si="21"/>
        <v>0</v>
      </c>
      <c r="T72" s="74">
        <f t="shared" si="22"/>
        <v>0</v>
      </c>
      <c r="U72" s="39">
        <v>0</v>
      </c>
      <c r="V72" s="51">
        <f t="shared" si="23"/>
        <v>0</v>
      </c>
    </row>
    <row r="73" spans="2:22" x14ac:dyDescent="0.2">
      <c r="B73" s="1" t="s">
        <v>63</v>
      </c>
      <c r="C73" s="57"/>
      <c r="F73" s="45"/>
      <c r="J73" s="45"/>
      <c r="K73" s="57"/>
      <c r="L73" s="80"/>
      <c r="M73" s="80"/>
      <c r="N73" s="45"/>
      <c r="O73" s="57"/>
      <c r="P73" s="80"/>
      <c r="Q73" s="80"/>
      <c r="R73" s="45"/>
      <c r="S73" s="55">
        <f t="shared" si="21"/>
        <v>0</v>
      </c>
      <c r="T73" s="74">
        <f t="shared" si="22"/>
        <v>0</v>
      </c>
      <c r="U73" s="39">
        <v>0</v>
      </c>
      <c r="V73" s="51">
        <f t="shared" si="23"/>
        <v>0</v>
      </c>
    </row>
    <row r="74" spans="2:22" x14ac:dyDescent="0.2">
      <c r="B74" s="1" t="s">
        <v>64</v>
      </c>
      <c r="C74" s="57"/>
      <c r="F74" s="45"/>
      <c r="J74" s="45"/>
      <c r="K74" s="57"/>
      <c r="L74" s="80"/>
      <c r="M74" s="80"/>
      <c r="N74" s="45"/>
      <c r="O74" s="57"/>
      <c r="P74" s="80"/>
      <c r="Q74" s="80"/>
      <c r="R74" s="45"/>
      <c r="S74" s="55">
        <f t="shared" si="21"/>
        <v>0</v>
      </c>
      <c r="T74" s="74">
        <f t="shared" si="22"/>
        <v>0</v>
      </c>
      <c r="U74" s="39">
        <v>0</v>
      </c>
      <c r="V74" s="51">
        <f t="shared" si="23"/>
        <v>0</v>
      </c>
    </row>
    <row r="75" spans="2:22" x14ac:dyDescent="0.2">
      <c r="B75" s="1" t="s">
        <v>65</v>
      </c>
      <c r="C75" s="57"/>
      <c r="F75" s="45"/>
      <c r="J75" s="45"/>
      <c r="K75" s="57"/>
      <c r="L75" s="80"/>
      <c r="M75" s="80"/>
      <c r="N75" s="45"/>
      <c r="O75" s="57"/>
      <c r="P75" s="80"/>
      <c r="Q75" s="80"/>
      <c r="R75" s="45"/>
      <c r="S75" s="55">
        <f t="shared" si="21"/>
        <v>0</v>
      </c>
      <c r="T75" s="74">
        <f t="shared" si="22"/>
        <v>0</v>
      </c>
      <c r="U75" s="39">
        <v>0</v>
      </c>
      <c r="V75" s="51">
        <f t="shared" si="23"/>
        <v>0</v>
      </c>
    </row>
    <row r="76" spans="2:22" ht="13.5" thickBot="1" x14ac:dyDescent="0.25">
      <c r="B76" s="1" t="s">
        <v>66</v>
      </c>
      <c r="C76" s="57"/>
      <c r="F76" s="45"/>
      <c r="J76" s="45"/>
      <c r="K76" s="57"/>
      <c r="L76" s="80"/>
      <c r="M76" s="80"/>
      <c r="N76" s="45"/>
      <c r="O76" s="57"/>
      <c r="P76" s="80"/>
      <c r="Q76" s="80"/>
      <c r="R76" s="45"/>
      <c r="S76" s="55">
        <f t="shared" si="21"/>
        <v>0</v>
      </c>
      <c r="T76" s="74">
        <f t="shared" si="22"/>
        <v>0</v>
      </c>
      <c r="U76" s="40">
        <v>0</v>
      </c>
      <c r="V76" s="51">
        <f t="shared" si="23"/>
        <v>0</v>
      </c>
    </row>
    <row r="77" spans="2:22" x14ac:dyDescent="0.2">
      <c r="B77" s="5" t="s">
        <v>34</v>
      </c>
      <c r="C77" s="58"/>
      <c r="D77" s="5"/>
      <c r="E77" s="5"/>
      <c r="F77" s="46"/>
      <c r="G77" s="5"/>
      <c r="H77" s="5"/>
      <c r="I77" s="5"/>
      <c r="J77" s="46"/>
      <c r="K77" s="58"/>
      <c r="L77" s="82"/>
      <c r="M77" s="82"/>
      <c r="N77" s="46"/>
      <c r="O77" s="58"/>
      <c r="P77" s="82"/>
      <c r="Q77" s="82"/>
      <c r="R77" s="46"/>
      <c r="S77" s="54">
        <f>SUM(S71:S76)</f>
        <v>1922337.5624759707</v>
      </c>
      <c r="T77" s="95">
        <f>SUM(T71:T76)</f>
        <v>40000000</v>
      </c>
      <c r="U77" s="77">
        <f>SUM(U71:U76)</f>
        <v>1</v>
      </c>
      <c r="V77" s="50">
        <f>SUM(V71:V76)</f>
        <v>9.9999999999999992E-2</v>
      </c>
    </row>
    <row r="78" spans="2:22" x14ac:dyDescent="0.2">
      <c r="B78" s="5"/>
      <c r="C78" s="65">
        <f>C21</f>
        <v>10000000</v>
      </c>
      <c r="D78" s="66"/>
      <c r="E78" s="67">
        <f>E21</f>
        <v>1</v>
      </c>
      <c r="F78" s="68">
        <f>F21</f>
        <v>1</v>
      </c>
      <c r="G78" s="65">
        <f>G30+C21</f>
        <v>11764705.882352941</v>
      </c>
      <c r="H78" s="66"/>
      <c r="I78" s="83">
        <f>G30/G78</f>
        <v>0.15</v>
      </c>
      <c r="J78" s="84">
        <f>J21+J30</f>
        <v>1</v>
      </c>
      <c r="K78" s="65">
        <f>C21+G30+K59</f>
        <v>13840830.449826989</v>
      </c>
      <c r="L78" s="66"/>
      <c r="M78" s="66"/>
      <c r="N78" s="68">
        <f>N21+N30+N59</f>
        <v>1</v>
      </c>
      <c r="O78" s="65">
        <f>C21+G30+K59+O68</f>
        <v>17301038.062283736</v>
      </c>
      <c r="P78" s="66"/>
      <c r="Q78" s="66"/>
      <c r="R78" s="68">
        <f>R21+R30+R59+R68</f>
        <v>1</v>
      </c>
      <c r="S78" s="65">
        <f>S77+O78</f>
        <v>19223375.624759708</v>
      </c>
      <c r="T78" s="66"/>
      <c r="U78" s="130" t="str">
        <f>IF(SUM(U71:U76)=1,"  ","Error≠100%")</f>
        <v xml:space="preserve">  </v>
      </c>
      <c r="V78" s="68">
        <f>V21+V30+V59+V68+V77</f>
        <v>1.0018</v>
      </c>
    </row>
    <row r="79" spans="2:22" x14ac:dyDescent="0.2">
      <c r="B79" s="6"/>
    </row>
    <row r="82" spans="2:2" x14ac:dyDescent="0.2">
      <c r="B82" s="1" t="s">
        <v>12</v>
      </c>
    </row>
  </sheetData>
  <mergeCells count="11">
    <mergeCell ref="B2:N2"/>
    <mergeCell ref="B3:N3"/>
    <mergeCell ref="B4:N4"/>
    <mergeCell ref="C6:F6"/>
    <mergeCell ref="G6:J6"/>
    <mergeCell ref="K6:N6"/>
    <mergeCell ref="O6:R6"/>
    <mergeCell ref="S6:V6"/>
    <mergeCell ref="G23:J23"/>
    <mergeCell ref="K32:N32"/>
    <mergeCell ref="F36:G36"/>
  </mergeCells>
  <pageMargins left="0.75" right="0.75" top="1" bottom="1" header="0.5" footer="0.5"/>
  <pageSetup scale="25" orientation="landscape" r:id="rId1"/>
  <headerFooter alignWithMargins="0">
    <oddHeader xml:space="preserve">&amp;C&amp;"Arial,Bold"
</oddHeader>
    <oddFoote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How to Use</vt:lpstr>
      <vt:lpstr>Calculator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dc:creator>
  <cp:lastModifiedBy>Carter</cp:lastModifiedBy>
  <dcterms:created xsi:type="dcterms:W3CDTF">2011-03-08T00:39:45Z</dcterms:created>
  <dcterms:modified xsi:type="dcterms:W3CDTF">2012-09-15T04:12:50Z</dcterms:modified>
</cp:coreProperties>
</file>